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6830" activeTab="1"/>
  </bookViews>
  <sheets>
    <sheet name="Seznam ekip" sheetId="1" r:id="rId1"/>
    <sheet name="Rezultati" sheetId="2" r:id="rId2"/>
    <sheet name="Tekmovalni sistem" sheetId="3" r:id="rId3"/>
    <sheet name="Lestvica" sheetId="4" r:id="rId4"/>
    <sheet name="Tocke" sheetId="5" r:id="rId5"/>
  </sheets>
  <definedNames>
    <definedName name="_Fill" hidden="1">#REF!</definedName>
    <definedName name="fillPlayers_2" localSheetId="0">'Seznam ekip'!#REF!</definedName>
    <definedName name="fillPlayers_7" localSheetId="0">'Seznam ekip'!#REF!</definedName>
    <definedName name="_xlnm.Print_Area" localSheetId="3">'Lestvica'!$A$1:$D$30</definedName>
    <definedName name="_xlnm.Print_Area" localSheetId="1">'Rezultati'!$A$1:$J$49</definedName>
    <definedName name="_xlnm.Print_Area" localSheetId="0">'Seznam ekip'!$A$1:$K$29</definedName>
    <definedName name="_xlnm.Print_Area" localSheetId="2">'Tekmovalni sistem'!$A$1:$L$64</definedName>
    <definedName name="_xlnm.Print_Area" localSheetId="4">'Tocke'!$A$1:$F$52</definedName>
    <definedName name="_xlnm.Print_Titles" localSheetId="1">'Rezultati'!$3:$3</definedName>
  </definedNames>
  <calcPr fullCalcOnLoad="1"/>
</workbook>
</file>

<file path=xl/sharedStrings.xml><?xml version="1.0" encoding="utf-8"?>
<sst xmlns="http://schemas.openxmlformats.org/spreadsheetml/2006/main" count="379" uniqueCount="121">
  <si>
    <t>vs</t>
  </si>
  <si>
    <t>1. Set</t>
  </si>
  <si>
    <t>2. Set</t>
  </si>
  <si>
    <t>3. Set</t>
  </si>
  <si>
    <t>I</t>
  </si>
  <si>
    <t>II</t>
  </si>
  <si>
    <t>III</t>
  </si>
  <si>
    <t>IV</t>
  </si>
  <si>
    <t>SF</t>
  </si>
  <si>
    <t>3/4</t>
  </si>
  <si>
    <t>F</t>
  </si>
  <si>
    <t>Ime igralec 1</t>
  </si>
  <si>
    <t>Priimek igralec 1</t>
  </si>
  <si>
    <t>Točke igralca 1</t>
  </si>
  <si>
    <t>Ime igralec 2</t>
  </si>
  <si>
    <t>Priimek igralec 2</t>
  </si>
  <si>
    <t>Točke igralec 2</t>
  </si>
  <si>
    <t>Točke ekipe skupaj</t>
  </si>
  <si>
    <t>Ime ekipe
 Igralec 1/Igralec 2</t>
  </si>
  <si>
    <t>Št. tekme</t>
  </si>
  <si>
    <t>Krog</t>
  </si>
  <si>
    <t>Igrišče</t>
  </si>
  <si>
    <t>Ekipa 1</t>
  </si>
  <si>
    <t>Ekipa 2</t>
  </si>
  <si>
    <t>Rezultat</t>
  </si>
  <si>
    <t>Čas</t>
  </si>
  <si>
    <t>Mesto</t>
  </si>
  <si>
    <t>Ekipa</t>
  </si>
  <si>
    <t>Rojen</t>
  </si>
  <si>
    <t>:</t>
  </si>
  <si>
    <t xml:space="preserve">Naziv turnirja : </t>
  </si>
  <si>
    <t>Polfinale</t>
  </si>
  <si>
    <t>1.</t>
  </si>
  <si>
    <t>2.</t>
  </si>
  <si>
    <t>3.</t>
  </si>
  <si>
    <t>Rang turnirja :</t>
  </si>
  <si>
    <t>SLO - U18</t>
  </si>
  <si>
    <t>SLO – “C”</t>
  </si>
  <si>
    <t>SLO - U20, U23</t>
  </si>
  <si>
    <t>SLO – “B”</t>
  </si>
  <si>
    <t>SLO – “A”</t>
  </si>
  <si>
    <t>1. mesto</t>
  </si>
  <si>
    <t>2. mesto</t>
  </si>
  <si>
    <t>3. mesto</t>
  </si>
  <si>
    <t>4. mesto</t>
  </si>
  <si>
    <t>5. mesto</t>
  </si>
  <si>
    <t>7. mesto</t>
  </si>
  <si>
    <t>9. mesto</t>
  </si>
  <si>
    <t>13. mesto</t>
  </si>
  <si>
    <t>17. mesto</t>
  </si>
  <si>
    <t>25. mesto</t>
  </si>
  <si>
    <t>33. mesto</t>
  </si>
  <si>
    <t>4.</t>
  </si>
  <si>
    <t>5.</t>
  </si>
  <si>
    <t>7.</t>
  </si>
  <si>
    <t>9.</t>
  </si>
  <si>
    <t>13.</t>
  </si>
  <si>
    <t>17.</t>
  </si>
  <si>
    <t>Čas igranja KONEC</t>
  </si>
  <si>
    <t>Čas igranja ZAČETEK</t>
  </si>
  <si>
    <t>3./4. mesto</t>
  </si>
  <si>
    <t>Datum turnirja :</t>
  </si>
  <si>
    <t xml:space="preserve">Rang : </t>
  </si>
  <si>
    <t>Igralec 1</t>
  </si>
  <si>
    <t>Igralec 2</t>
  </si>
  <si>
    <t>Pozicija</t>
  </si>
  <si>
    <t>Finale</t>
  </si>
  <si>
    <t>Opombe</t>
  </si>
  <si>
    <t>SLO – “D”</t>
  </si>
  <si>
    <r>
      <rPr>
        <sz val="10"/>
        <rFont val="Wingdings"/>
        <family val="0"/>
      </rPr>
      <t xml:space="preserve"> ÙÙÙÙ</t>
    </r>
    <r>
      <rPr>
        <sz val="10"/>
        <rFont val="Arial"/>
        <family val="2"/>
      </rPr>
      <t xml:space="preserve">   </t>
    </r>
    <r>
      <rPr>
        <sz val="10"/>
        <rFont val="Wingdings"/>
        <family val="0"/>
      </rPr>
      <t>×××</t>
    </r>
    <r>
      <rPr>
        <sz val="10"/>
        <rFont val="Arial"/>
        <family val="2"/>
      </rPr>
      <t xml:space="preserve">   A / B / C / D / U18 / U20 / U23</t>
    </r>
  </si>
  <si>
    <t>Julija Četina</t>
  </si>
  <si>
    <t>Iza Koren</t>
  </si>
  <si>
    <t>Nina Debelak</t>
  </si>
  <si>
    <t>Ana Štravs</t>
  </si>
  <si>
    <t>Neža Novak</t>
  </si>
  <si>
    <t>Valentina Dilica Valentinčič</t>
  </si>
  <si>
    <t>Izabela Rošer</t>
  </si>
  <si>
    <t>Tinkara Nagode</t>
  </si>
  <si>
    <t>Luna Lavrič</t>
  </si>
  <si>
    <t>Zoja Petelin</t>
  </si>
  <si>
    <t>Lana Špetič</t>
  </si>
  <si>
    <t>Lea Vidmar</t>
  </si>
  <si>
    <t>Eva Albič</t>
  </si>
  <si>
    <t>Tia Kopač</t>
  </si>
  <si>
    <t>Lia Pipp</t>
  </si>
  <si>
    <t>Lea Ivančič</t>
  </si>
  <si>
    <t>Ota Strojnik</t>
  </si>
  <si>
    <t>Nina Šifrar</t>
  </si>
  <si>
    <t>Mina Krek</t>
  </si>
  <si>
    <t>Katarina Kim Kilar</t>
  </si>
  <si>
    <t>Nina Simončič</t>
  </si>
  <si>
    <t>Maja Dovč</t>
  </si>
  <si>
    <t>Iza Rozman</t>
  </si>
  <si>
    <t>01.07.2023</t>
  </si>
  <si>
    <t>Državno prvenstvo U-16 dekleta Žužemberk - kval</t>
  </si>
  <si>
    <t>odpoved</t>
  </si>
  <si>
    <t>BB</t>
  </si>
  <si>
    <t>odpoved ekipe</t>
  </si>
  <si>
    <t>Lubnik</t>
  </si>
  <si>
    <t>Vital</t>
  </si>
  <si>
    <t>Calcit</t>
  </si>
  <si>
    <t>Sara Radunović Vital</t>
  </si>
  <si>
    <t>Katerina Đokić Calcit</t>
  </si>
  <si>
    <t>Ajda Hribar Calcit</t>
  </si>
  <si>
    <t>Lara Goršič Lubnik</t>
  </si>
  <si>
    <t>Vesna Kondić Lubnik</t>
  </si>
  <si>
    <t>Maruša Hočevar Žužemberk</t>
  </si>
  <si>
    <t>Pia Primožič Logatec</t>
  </si>
  <si>
    <t>Neja Potočnik Lubnik</t>
  </si>
  <si>
    <t>Neja Legan Žužemberk</t>
  </si>
  <si>
    <t>Dita Reflak Vital</t>
  </si>
  <si>
    <t>Neja Železnik Calcit</t>
  </si>
  <si>
    <t>Živa Bastjančič  vc Portorož</t>
  </si>
  <si>
    <t>Ajda Kolar Vital</t>
  </si>
  <si>
    <t>Zara Nahtigal Lavrič Žužemberk</t>
  </si>
  <si>
    <t>Katjuša Plot Žužemberk</t>
  </si>
  <si>
    <t>Lea Žnidaršič Ok Logatec</t>
  </si>
  <si>
    <t>Maša Menard ok Logatec</t>
  </si>
  <si>
    <t>Živa Šoštarič Cestnik</t>
  </si>
  <si>
    <t>Taja Šketa Rozman Cestnik</t>
  </si>
  <si>
    <t>bb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</si>
</sst>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7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 Narrow"/>
      <family val="2"/>
    </font>
    <font>
      <sz val="11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10"/>
      <name val="Wingdings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/>
      <bottom>
        <color indexed="63"/>
      </bottom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5" xfId="59" applyFont="1" applyBorder="1" applyProtection="1">
      <alignment/>
      <protection locked="0"/>
    </xf>
    <xf numFmtId="14" fontId="0" fillId="0" borderId="15" xfId="59" applyNumberFormat="1" applyFont="1" applyBorder="1" applyAlignment="1" applyProtection="1">
      <alignment horizontal="center"/>
      <protection locked="0"/>
    </xf>
    <xf numFmtId="172" fontId="0" fillId="0" borderId="15" xfId="59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172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59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2" fontId="0" fillId="0" borderId="15" xfId="58" applyNumberFormat="1" applyFont="1" applyBorder="1" applyAlignment="1" applyProtection="1">
      <alignment horizontal="center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Continuous" vertical="center"/>
      <protection hidden="1"/>
    </xf>
    <xf numFmtId="0" fontId="13" fillId="0" borderId="21" xfId="0" applyFont="1" applyBorder="1" applyAlignment="1" applyProtection="1">
      <alignment horizontal="centerContinuous" vertical="center"/>
      <protection hidden="1"/>
    </xf>
    <xf numFmtId="0" fontId="13" fillId="0" borderId="18" xfId="0" applyFont="1" applyBorder="1" applyAlignment="1" applyProtection="1">
      <alignment horizontal="centerContinuous" vertical="center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Continuous" vertical="center"/>
      <protection hidden="1"/>
    </xf>
    <xf numFmtId="0" fontId="13" fillId="0" borderId="24" xfId="0" applyFont="1" applyBorder="1" applyAlignment="1" applyProtection="1">
      <alignment horizontal="centerContinuous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20" fontId="13" fillId="0" borderId="26" xfId="0" applyNumberFormat="1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20" fontId="13" fillId="0" borderId="30" xfId="0" applyNumberFormat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20" fontId="13" fillId="0" borderId="32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49" fontId="0" fillId="0" borderId="34" xfId="0" applyNumberFormat="1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0" fontId="13" fillId="0" borderId="3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20" fontId="13" fillId="0" borderId="37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37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37" fontId="6" fillId="0" borderId="0" xfId="0" applyNumberFormat="1" applyFont="1" applyBorder="1" applyAlignment="1" applyProtection="1">
      <alignment horizontal="right" vertical="center"/>
      <protection hidden="1"/>
    </xf>
    <xf numFmtId="37" fontId="7" fillId="34" borderId="34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37" fontId="6" fillId="0" borderId="12" xfId="0" applyNumberFormat="1" applyFont="1" applyBorder="1" applyAlignment="1" applyProtection="1">
      <alignment horizontal="right" vertical="center"/>
      <protection hidden="1"/>
    </xf>
    <xf numFmtId="37" fontId="7" fillId="34" borderId="49" xfId="0" applyNumberFormat="1" applyFont="1" applyFill="1" applyBorder="1" applyAlignment="1" applyProtection="1">
      <alignment horizontal="center" vertical="center"/>
      <protection hidden="1"/>
    </xf>
    <xf numFmtId="37" fontId="6" fillId="0" borderId="12" xfId="0" applyNumberFormat="1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37" fontId="6" fillId="0" borderId="48" xfId="0" applyNumberFormat="1" applyFont="1" applyBorder="1" applyAlignment="1" applyProtection="1">
      <alignment horizontal="right" vertical="center"/>
      <protection hidden="1"/>
    </xf>
    <xf numFmtId="37" fontId="6" fillId="0" borderId="0" xfId="0" applyNumberFormat="1" applyFont="1" applyAlignment="1" applyProtection="1">
      <alignment horizontal="right" vertical="center"/>
      <protection hidden="1"/>
    </xf>
    <xf numFmtId="37" fontId="6" fillId="0" borderId="0" xfId="0" applyNumberFormat="1" applyFont="1" applyAlignment="1" applyProtection="1">
      <alignment horizontal="left" vertical="center"/>
      <protection hidden="1"/>
    </xf>
    <xf numFmtId="37" fontId="6" fillId="0" borderId="16" xfId="0" applyNumberFormat="1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37" fontId="6" fillId="0" borderId="1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/>
      <protection hidden="1"/>
    </xf>
    <xf numFmtId="37" fontId="6" fillId="0" borderId="49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right" vertical="center"/>
      <protection hidden="1"/>
    </xf>
    <xf numFmtId="37" fontId="7" fillId="34" borderId="0" xfId="0" applyNumberFormat="1" applyFont="1" applyFill="1" applyBorder="1" applyAlignment="1" applyProtection="1">
      <alignment horizontal="center" vertical="center"/>
      <protection hidden="1"/>
    </xf>
    <xf numFmtId="37" fontId="6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right"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48" xfId="0" applyFont="1" applyBorder="1" applyAlignment="1" applyProtection="1">
      <alignment horizontal="right" vertical="center"/>
      <protection hidden="1"/>
    </xf>
    <xf numFmtId="37" fontId="7" fillId="34" borderId="52" xfId="0" applyNumberFormat="1" applyFont="1" applyFill="1" applyBorder="1" applyAlignment="1" applyProtection="1">
      <alignment horizontal="center" vertical="center"/>
      <protection hidden="1"/>
    </xf>
    <xf numFmtId="37" fontId="6" fillId="0" borderId="0" xfId="0" applyNumberFormat="1" applyFont="1" applyBorder="1" applyAlignment="1" applyProtection="1">
      <alignment horizontal="center" vertical="center"/>
      <protection hidden="1"/>
    </xf>
    <xf numFmtId="37" fontId="6" fillId="0" borderId="16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 textRotation="90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/>
      <protection hidden="1"/>
    </xf>
    <xf numFmtId="14" fontId="15" fillId="0" borderId="0" xfId="0" applyNumberFormat="1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5" xfId="0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left"/>
      <protection hidden="1"/>
    </xf>
    <xf numFmtId="0" fontId="0" fillId="0" borderId="56" xfId="0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8" borderId="17" xfId="0" applyFont="1" applyFill="1" applyBorder="1" applyAlignment="1" applyProtection="1">
      <alignment horizontal="center" vertical="center" textRotation="90" wrapText="1"/>
      <protection hidden="1"/>
    </xf>
    <xf numFmtId="37" fontId="8" fillId="0" borderId="50" xfId="0" applyNumberFormat="1" applyFont="1" applyBorder="1" applyAlignment="1" applyProtection="1">
      <alignment horizontal="center" vertical="center"/>
      <protection hidden="1"/>
    </xf>
    <xf numFmtId="37" fontId="6" fillId="0" borderId="34" xfId="0" applyNumberFormat="1" applyFont="1" applyBorder="1" applyAlignment="1" applyProtection="1">
      <alignment horizontal="center" vertical="center"/>
      <protection hidden="1"/>
    </xf>
    <xf numFmtId="20" fontId="0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>
      <alignment horizontal="center" vertical="center"/>
    </xf>
    <xf numFmtId="172" fontId="0" fillId="35" borderId="15" xfId="0" applyNumberFormat="1" applyFill="1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 vertical="center"/>
      <protection hidden="1"/>
    </xf>
    <xf numFmtId="14" fontId="0" fillId="35" borderId="15" xfId="0" applyNumberFormat="1" applyFill="1" applyBorder="1" applyAlignment="1" applyProtection="1">
      <alignment vertical="center"/>
      <protection hidden="1"/>
    </xf>
    <xf numFmtId="0" fontId="0" fillId="35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/>
      <protection locked="0"/>
    </xf>
    <xf numFmtId="20" fontId="0" fillId="0" borderId="15" xfId="0" applyNumberFormat="1" applyFont="1" applyBorder="1" applyAlignment="1" applyProtection="1">
      <alignment horizontal="center" vertical="center"/>
      <protection locked="0"/>
    </xf>
    <xf numFmtId="20" fontId="0" fillId="0" borderId="11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6" borderId="10" xfId="0" applyFont="1" applyFill="1" applyBorder="1" applyAlignment="1" applyProtection="1">
      <alignment horizontal="center" vertical="center"/>
      <protection hidden="1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hidden="1"/>
    </xf>
    <xf numFmtId="0" fontId="0" fillId="36" borderId="46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hidden="1"/>
    </xf>
    <xf numFmtId="20" fontId="13" fillId="36" borderId="26" xfId="0" applyNumberFormat="1" applyFont="1" applyFill="1" applyBorder="1" applyAlignment="1" applyProtection="1">
      <alignment horizontal="center" vertical="center"/>
      <protection hidden="1"/>
    </xf>
    <xf numFmtId="0" fontId="0" fillId="36" borderId="39" xfId="0" applyFont="1" applyFill="1" applyBorder="1" applyAlignment="1" applyProtection="1">
      <alignment horizontal="center" vertical="center"/>
      <protection locked="0"/>
    </xf>
    <xf numFmtId="0" fontId="0" fillId="36" borderId="38" xfId="0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20" fontId="0" fillId="36" borderId="15" xfId="0" applyNumberFormat="1" applyFont="1" applyFill="1" applyBorder="1" applyAlignment="1" applyProtection="1">
      <alignment horizontal="center" vertical="center"/>
      <protection locked="0"/>
    </xf>
    <xf numFmtId="0" fontId="52" fillId="36" borderId="15" xfId="0" applyFont="1" applyFill="1" applyBorder="1" applyAlignment="1" applyProtection="1">
      <alignment horizontal="center" vertical="center"/>
      <protection hidden="1"/>
    </xf>
    <xf numFmtId="0" fontId="0" fillId="36" borderId="57" xfId="0" applyFont="1" applyFill="1" applyBorder="1" applyAlignment="1" applyProtection="1">
      <alignment horizontal="center" vertical="center"/>
      <protection locked="0"/>
    </xf>
    <xf numFmtId="0" fontId="0" fillId="36" borderId="58" xfId="0" applyFont="1" applyFill="1" applyBorder="1" applyAlignment="1" applyProtection="1">
      <alignment horizontal="center" vertical="center"/>
      <protection hidden="1"/>
    </xf>
    <xf numFmtId="0" fontId="0" fillId="36" borderId="59" xfId="0" applyFont="1" applyFill="1" applyBorder="1" applyAlignment="1" applyProtection="1">
      <alignment horizontal="center" vertical="center"/>
      <protection locked="0"/>
    </xf>
    <xf numFmtId="0" fontId="0" fillId="36" borderId="60" xfId="0" applyFont="1" applyFill="1" applyBorder="1" applyAlignment="1" applyProtection="1">
      <alignment horizontal="center" vertical="center"/>
      <protection locked="0"/>
    </xf>
    <xf numFmtId="0" fontId="0" fillId="36" borderId="61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2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>
      <alignment horizontal="center" vertical="center"/>
    </xf>
    <xf numFmtId="0" fontId="0" fillId="36" borderId="28" xfId="0" applyFont="1" applyFill="1" applyBorder="1" applyAlignment="1" applyProtection="1">
      <alignment horizontal="center" vertical="center"/>
      <protection hidden="1"/>
    </xf>
    <xf numFmtId="0" fontId="0" fillId="36" borderId="14" xfId="0" applyFont="1" applyFill="1" applyBorder="1" applyAlignment="1" applyProtection="1">
      <alignment horizontal="center" vertical="center"/>
      <protection hidden="1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hidden="1"/>
    </xf>
    <xf numFmtId="0" fontId="0" fillId="36" borderId="47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 hidden="1"/>
    </xf>
    <xf numFmtId="20" fontId="13" fillId="36" borderId="30" xfId="0" applyNumberFormat="1" applyFont="1" applyFill="1" applyBorder="1" applyAlignment="1" applyProtection="1">
      <alignment horizontal="center" vertical="center"/>
      <protection hidden="1"/>
    </xf>
    <xf numFmtId="0" fontId="0" fillId="36" borderId="41" xfId="0" applyFont="1" applyFill="1" applyBorder="1" applyAlignment="1" applyProtection="1">
      <alignment horizontal="center" vertical="center"/>
      <protection locked="0"/>
    </xf>
    <xf numFmtId="0" fontId="0" fillId="36" borderId="40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2" fillId="36" borderId="13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vertical="center"/>
      <protection locked="0"/>
    </xf>
    <xf numFmtId="0" fontId="0" fillId="36" borderId="15" xfId="0" applyFill="1" applyBorder="1" applyAlignment="1">
      <alignment vertical="center"/>
    </xf>
    <xf numFmtId="172" fontId="0" fillId="36" borderId="15" xfId="59" applyNumberFormat="1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/>
      <protection locked="0"/>
    </xf>
    <xf numFmtId="172" fontId="4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59" applyFont="1" applyFill="1" applyBorder="1" applyProtection="1">
      <alignment/>
      <protection locked="0"/>
    </xf>
    <xf numFmtId="0" fontId="0" fillId="36" borderId="15" xfId="0" applyFill="1" applyBorder="1" applyAlignment="1" applyProtection="1">
      <alignment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172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1" xfId="0" applyFill="1" applyBorder="1" applyAlignment="1">
      <alignment vertical="center"/>
    </xf>
    <xf numFmtId="0" fontId="0" fillId="36" borderId="15" xfId="59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vertical="center"/>
    </xf>
    <xf numFmtId="0" fontId="53" fillId="0" borderId="15" xfId="0" applyFont="1" applyBorder="1" applyAlignment="1" applyProtection="1">
      <alignment horizontal="center" vertical="center"/>
      <protection hidden="1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hidden="1"/>
    </xf>
    <xf numFmtId="0" fontId="0" fillId="36" borderId="48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20" fontId="13" fillId="36" borderId="32" xfId="0" applyNumberFormat="1" applyFont="1" applyFill="1" applyBorder="1" applyAlignment="1" applyProtection="1">
      <alignment horizontal="center" vertical="center"/>
      <protection hidden="1"/>
    </xf>
    <xf numFmtId="0" fontId="0" fillId="36" borderId="43" xfId="0" applyFont="1" applyFill="1" applyBorder="1" applyAlignment="1" applyProtection="1">
      <alignment horizontal="center" vertical="center"/>
      <protection locked="0"/>
    </xf>
    <xf numFmtId="0" fontId="0" fillId="36" borderId="42" xfId="0" applyFont="1" applyFill="1" applyBorder="1" applyAlignment="1" applyProtection="1">
      <alignment horizontal="center" vertical="center"/>
      <protection locked="0"/>
    </xf>
    <xf numFmtId="0" fontId="52" fillId="36" borderId="13" xfId="0" applyFont="1" applyFill="1" applyBorder="1" applyAlignment="1" applyProtection="1">
      <alignment horizontal="center" vertical="center"/>
      <protection hidden="1"/>
    </xf>
    <xf numFmtId="0" fontId="0" fillId="37" borderId="13" xfId="0" applyFill="1" applyBorder="1" applyAlignment="1">
      <alignment vertical="center"/>
    </xf>
    <xf numFmtId="0" fontId="0" fillId="37" borderId="13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13" xfId="0" applyFont="1" applyFill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horizontal="center" vertical="center"/>
      <protection hidden="1"/>
    </xf>
    <xf numFmtId="0" fontId="52" fillId="0" borderId="14" xfId="0" applyFont="1" applyBorder="1" applyAlignment="1" applyProtection="1">
      <alignment horizontal="center" vertical="center"/>
      <protection locked="0"/>
    </xf>
    <xf numFmtId="0" fontId="0" fillId="37" borderId="15" xfId="0" applyFill="1" applyBorder="1" applyAlignment="1">
      <alignment vertical="center"/>
    </xf>
    <xf numFmtId="172" fontId="0" fillId="37" borderId="15" xfId="59" applyNumberFormat="1" applyFont="1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 applyProtection="1">
      <alignment/>
      <protection locked="0"/>
    </xf>
    <xf numFmtId="0" fontId="52" fillId="38" borderId="14" xfId="0" applyFont="1" applyFill="1" applyBorder="1" applyAlignment="1" applyProtection="1">
      <alignment horizontal="center" vertical="center"/>
      <protection locked="0"/>
    </xf>
    <xf numFmtId="0" fontId="52" fillId="38" borderId="11" xfId="0" applyFont="1" applyFill="1" applyBorder="1" applyAlignment="1" applyProtection="1">
      <alignment horizontal="center" vertical="center"/>
      <protection hidden="1"/>
    </xf>
    <xf numFmtId="0" fontId="53" fillId="39" borderId="15" xfId="0" applyFont="1" applyFill="1" applyBorder="1" applyAlignment="1" applyProtection="1">
      <alignment horizontal="center" vertical="center"/>
      <protection hidden="1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hidden="1"/>
    </xf>
    <xf numFmtId="0" fontId="53" fillId="0" borderId="47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hidden="1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hidden="1"/>
    </xf>
    <xf numFmtId="0" fontId="53" fillId="0" borderId="48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J2-nord-adressen" xfId="58"/>
    <cellStyle name="Standard_J2-zent-adressen" xfId="59"/>
    <cellStyle name="Title" xfId="60"/>
    <cellStyle name="Total" xfId="61"/>
    <cellStyle name="Warning Text" xfId="62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16</xdr:row>
      <xdr:rowOff>0</xdr:rowOff>
    </xdr:from>
    <xdr:to>
      <xdr:col>5</xdr:col>
      <xdr:colOff>304800</xdr:colOff>
      <xdr:row>17</xdr:row>
      <xdr:rowOff>66675</xdr:rowOff>
    </xdr:to>
    <xdr:sp>
      <xdr:nvSpPr>
        <xdr:cNvPr id="1" name="Line 1"/>
        <xdr:cNvSpPr>
          <a:spLocks/>
        </xdr:cNvSpPr>
      </xdr:nvSpPr>
      <xdr:spPr>
        <a:xfrm>
          <a:off x="421005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295275</xdr:colOff>
      <xdr:row>44</xdr:row>
      <xdr:rowOff>38100</xdr:rowOff>
    </xdr:from>
    <xdr:to>
      <xdr:col>5</xdr:col>
      <xdr:colOff>295275</xdr:colOff>
      <xdr:row>45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200525" y="5067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C11" sqref="C11:G12"/>
    </sheetView>
  </sheetViews>
  <sheetFormatPr defaultColWidth="9.140625" defaultRowHeight="12.75"/>
  <cols>
    <col min="1" max="1" width="3.7109375" style="2" customWidth="1"/>
    <col min="2" max="2" width="13.7109375" style="0" customWidth="1"/>
    <col min="3" max="3" width="18.8515625" style="0" customWidth="1"/>
    <col min="4" max="4" width="10.7109375" style="0" customWidth="1"/>
    <col min="5" max="5" width="8.8515625" style="2" customWidth="1"/>
    <col min="6" max="6" width="13.7109375" style="0" customWidth="1"/>
    <col min="7" max="7" width="23.00390625" style="0" customWidth="1"/>
    <col min="8" max="8" width="10.7109375" style="0" customWidth="1"/>
    <col min="9" max="9" width="8.7109375" style="2" customWidth="1"/>
    <col min="10" max="10" width="10.00390625" style="2" customWidth="1"/>
    <col min="11" max="11" width="29.8515625" style="2" customWidth="1"/>
    <col min="12" max="12" width="19.00390625" style="0" customWidth="1"/>
    <col min="13" max="13" width="10.57421875" style="0" customWidth="1"/>
    <col min="14" max="14" width="18.140625" style="0" customWidth="1"/>
    <col min="15" max="15" width="10.57421875" style="0" customWidth="1"/>
  </cols>
  <sheetData>
    <row r="1" spans="1:15" ht="15">
      <c r="A1" s="18" t="s">
        <v>30</v>
      </c>
      <c r="B1" s="19"/>
      <c r="C1" s="193" t="s">
        <v>94</v>
      </c>
      <c r="D1" s="193"/>
      <c r="E1" s="193"/>
      <c r="F1" s="19"/>
      <c r="G1" s="19"/>
      <c r="H1" s="20" t="s">
        <v>62</v>
      </c>
      <c r="I1" s="41"/>
      <c r="J1" s="21" t="str">
        <f>IF(I1="A","OK",IF(I1="B","OK",IF(I1="U18","OK",IF(I1="U20","OK",IF(I1="U23","OK",IF(I1="C","OK",IF(I1="D","OK","NAPAKA")))))))</f>
        <v>NAPAKA</v>
      </c>
      <c r="K1" s="20"/>
      <c r="L1" s="19"/>
      <c r="M1" s="19"/>
      <c r="N1" s="19"/>
      <c r="O1" s="19"/>
    </row>
    <row r="2" spans="1:15" ht="15">
      <c r="A2" s="18"/>
      <c r="B2" s="19"/>
      <c r="C2" s="22"/>
      <c r="D2" s="22"/>
      <c r="E2" s="22"/>
      <c r="F2" s="19"/>
      <c r="G2" s="19"/>
      <c r="H2" s="20"/>
      <c r="I2" s="23" t="s">
        <v>69</v>
      </c>
      <c r="J2" s="21"/>
      <c r="K2" s="20"/>
      <c r="L2" s="19"/>
      <c r="M2" s="19"/>
      <c r="N2" s="19"/>
      <c r="O2" s="19"/>
    </row>
    <row r="3" spans="1:15" ht="15">
      <c r="A3" s="24" t="s">
        <v>61</v>
      </c>
      <c r="B3" s="19"/>
      <c r="C3" s="40" t="s">
        <v>93</v>
      </c>
      <c r="D3" s="22"/>
      <c r="E3" s="22"/>
      <c r="F3" s="19"/>
      <c r="G3" s="19"/>
      <c r="H3" s="20"/>
      <c r="I3" s="25"/>
      <c r="J3" s="21"/>
      <c r="K3" s="20"/>
      <c r="L3" s="19"/>
      <c r="M3" s="19"/>
      <c r="N3" s="19"/>
      <c r="O3" s="19"/>
    </row>
    <row r="4" spans="1:15" ht="12.75" thickBot="1">
      <c r="A4" s="21"/>
      <c r="B4" s="19"/>
      <c r="C4" s="19"/>
      <c r="D4" s="19"/>
      <c r="E4" s="21"/>
      <c r="F4" s="19"/>
      <c r="G4" s="19"/>
      <c r="H4" s="19"/>
      <c r="I4" s="20"/>
      <c r="J4" s="21"/>
      <c r="K4" s="21"/>
      <c r="L4" s="19"/>
      <c r="M4" s="19"/>
      <c r="N4" s="19"/>
      <c r="O4" s="19"/>
    </row>
    <row r="5" spans="1:15" ht="44.25" customHeight="1" thickBot="1" thickTop="1">
      <c r="A5" s="183" t="s">
        <v>65</v>
      </c>
      <c r="B5" s="26" t="s">
        <v>11</v>
      </c>
      <c r="C5" s="26" t="s">
        <v>12</v>
      </c>
      <c r="D5" s="26" t="s">
        <v>28</v>
      </c>
      <c r="E5" s="27" t="s">
        <v>13</v>
      </c>
      <c r="F5" s="28" t="s">
        <v>14</v>
      </c>
      <c r="G5" s="28" t="s">
        <v>15</v>
      </c>
      <c r="H5" s="28" t="s">
        <v>28</v>
      </c>
      <c r="I5" s="29" t="s">
        <v>16</v>
      </c>
      <c r="J5" s="30" t="s">
        <v>17</v>
      </c>
      <c r="K5" s="30" t="s">
        <v>18</v>
      </c>
      <c r="L5" s="19"/>
      <c r="M5" s="19"/>
      <c r="N5" s="19"/>
      <c r="O5" s="19"/>
    </row>
    <row r="6" spans="1:15" s="1" customFormat="1" ht="13.5" customHeight="1" thickTop="1">
      <c r="A6" s="192">
        <v>1</v>
      </c>
      <c r="B6" s="182"/>
      <c r="C6" s="261" t="s">
        <v>70</v>
      </c>
      <c r="D6" s="262"/>
      <c r="E6" s="263"/>
      <c r="F6" s="264"/>
      <c r="G6" s="261" t="s">
        <v>71</v>
      </c>
      <c r="H6" s="33"/>
      <c r="I6" s="34"/>
      <c r="J6" s="189">
        <f>SUM(E6,I6)</f>
        <v>0</v>
      </c>
      <c r="K6" s="190" t="str">
        <f>CONCATENATE(C6," / ",G6)</f>
        <v>Julija Četina / Iza Koren</v>
      </c>
      <c r="L6" s="190" t="str">
        <f aca="true" t="shared" si="0" ref="L6:L29">CONCATENATE(C6," ",B6)</f>
        <v>Julija Četina </v>
      </c>
      <c r="M6" s="191">
        <f>D6</f>
        <v>0</v>
      </c>
      <c r="N6" s="190" t="str">
        <f>CONCATENATE(G6," ",F6)</f>
        <v>Iza Koren </v>
      </c>
      <c r="O6" s="191">
        <f>H6</f>
        <v>0</v>
      </c>
    </row>
    <row r="7" spans="1:15" s="1" customFormat="1" ht="13.5" customHeight="1">
      <c r="A7" s="192">
        <v>2</v>
      </c>
      <c r="B7" s="35"/>
      <c r="C7" s="240" t="s">
        <v>101</v>
      </c>
      <c r="D7" s="245"/>
      <c r="E7" s="246"/>
      <c r="F7" s="239"/>
      <c r="G7" s="240" t="s">
        <v>72</v>
      </c>
      <c r="H7" s="33" t="s">
        <v>99</v>
      </c>
      <c r="I7" s="36"/>
      <c r="J7" s="189">
        <f aca="true" t="shared" si="1" ref="J7:J29">SUM(E7,I7)</f>
        <v>0</v>
      </c>
      <c r="K7" s="190" t="str">
        <f aca="true" t="shared" si="2" ref="K7:K29">CONCATENATE(C7," / ",G7)</f>
        <v>Sara Radunović Vital / Nina Debelak</v>
      </c>
      <c r="L7" s="190" t="str">
        <f t="shared" si="0"/>
        <v>Sara Radunović Vital </v>
      </c>
      <c r="M7" s="191">
        <f aca="true" t="shared" si="3" ref="M7:M29">D7</f>
        <v>0</v>
      </c>
      <c r="N7" s="190" t="str">
        <f aca="true" t="shared" si="4" ref="N7:N29">CONCATENATE(G7," ",F7)</f>
        <v>Nina Debelak </v>
      </c>
      <c r="O7" s="191" t="str">
        <f aca="true" t="shared" si="5" ref="O7:O29">H7</f>
        <v>Vital</v>
      </c>
    </row>
    <row r="8" spans="1:15" s="1" customFormat="1" ht="13.5" customHeight="1">
      <c r="A8" s="192">
        <v>3</v>
      </c>
      <c r="B8" s="32"/>
      <c r="C8" s="251" t="s">
        <v>114</v>
      </c>
      <c r="D8" s="245"/>
      <c r="E8" s="246"/>
      <c r="F8" s="239"/>
      <c r="G8" s="240" t="s">
        <v>73</v>
      </c>
      <c r="H8" s="37"/>
      <c r="I8" s="34"/>
      <c r="J8" s="189">
        <f t="shared" si="1"/>
        <v>0</v>
      </c>
      <c r="K8" s="190" t="str">
        <f t="shared" si="2"/>
        <v>Zara Nahtigal Lavrič Žužemberk / Ana Štravs</v>
      </c>
      <c r="L8" s="190" t="str">
        <f t="shared" si="0"/>
        <v>Zara Nahtigal Lavrič Žužemberk </v>
      </c>
      <c r="M8" s="191">
        <f t="shared" si="3"/>
        <v>0</v>
      </c>
      <c r="N8" s="190" t="str">
        <f t="shared" si="4"/>
        <v>Ana Štravs </v>
      </c>
      <c r="O8" s="191">
        <f t="shared" si="5"/>
        <v>0</v>
      </c>
    </row>
    <row r="9" spans="1:15" s="1" customFormat="1" ht="13.5" customHeight="1">
      <c r="A9" s="192">
        <v>4</v>
      </c>
      <c r="B9" s="32"/>
      <c r="C9" s="251" t="s">
        <v>115</v>
      </c>
      <c r="D9" s="245"/>
      <c r="E9" s="246"/>
      <c r="F9" s="239"/>
      <c r="G9" s="240" t="s">
        <v>74</v>
      </c>
      <c r="H9" s="37"/>
      <c r="I9" s="36"/>
      <c r="J9" s="189">
        <f t="shared" si="1"/>
        <v>0</v>
      </c>
      <c r="K9" s="190" t="str">
        <f t="shared" si="2"/>
        <v>Katjuša Plot Žužemberk / Neža Novak</v>
      </c>
      <c r="L9" s="190" t="str">
        <f t="shared" si="0"/>
        <v>Katjuša Plot Žužemberk </v>
      </c>
      <c r="M9" s="191">
        <f t="shared" si="3"/>
        <v>0</v>
      </c>
      <c r="N9" s="190" t="str">
        <f t="shared" si="4"/>
        <v>Neža Novak </v>
      </c>
      <c r="O9" s="191">
        <f t="shared" si="5"/>
        <v>0</v>
      </c>
    </row>
    <row r="10" spans="1:15" s="1" customFormat="1" ht="13.5" customHeight="1">
      <c r="A10" s="192">
        <v>5</v>
      </c>
      <c r="B10" s="32"/>
      <c r="C10" s="251" t="s">
        <v>112</v>
      </c>
      <c r="D10" s="245"/>
      <c r="E10" s="246"/>
      <c r="F10" s="239"/>
      <c r="G10" s="240" t="s">
        <v>75</v>
      </c>
      <c r="H10" s="37"/>
      <c r="I10" s="34"/>
      <c r="J10" s="189">
        <f t="shared" si="1"/>
        <v>0</v>
      </c>
      <c r="K10" s="190" t="str">
        <f t="shared" si="2"/>
        <v>Živa Bastjančič  vc Portorož / Valentina Dilica Valentinčič</v>
      </c>
      <c r="L10" s="190" t="str">
        <f t="shared" si="0"/>
        <v>Živa Bastjančič  vc Portorož </v>
      </c>
      <c r="M10" s="191">
        <f t="shared" si="3"/>
        <v>0</v>
      </c>
      <c r="N10" s="190" t="str">
        <f t="shared" si="4"/>
        <v>Valentina Dilica Valentinčič </v>
      </c>
      <c r="O10" s="191">
        <f t="shared" si="5"/>
        <v>0</v>
      </c>
    </row>
    <row r="11" spans="1:15" s="1" customFormat="1" ht="13.5" customHeight="1">
      <c r="A11" s="192">
        <v>6</v>
      </c>
      <c r="B11" s="32"/>
      <c r="C11" s="251" t="s">
        <v>118</v>
      </c>
      <c r="D11" s="245"/>
      <c r="E11" s="246"/>
      <c r="F11" s="239"/>
      <c r="G11" s="240" t="s">
        <v>76</v>
      </c>
      <c r="H11" s="37"/>
      <c r="I11" s="36"/>
      <c r="J11" s="189">
        <f t="shared" si="1"/>
        <v>0</v>
      </c>
      <c r="K11" s="190" t="str">
        <f t="shared" si="2"/>
        <v>Živa Šoštarič Cestnik / Izabela Rošer</v>
      </c>
      <c r="L11" s="190" t="str">
        <f t="shared" si="0"/>
        <v>Živa Šoštarič Cestnik </v>
      </c>
      <c r="M11" s="191">
        <f t="shared" si="3"/>
        <v>0</v>
      </c>
      <c r="N11" s="190" t="str">
        <f t="shared" si="4"/>
        <v>Izabela Rošer </v>
      </c>
      <c r="O11" s="191">
        <f t="shared" si="5"/>
        <v>0</v>
      </c>
    </row>
    <row r="12" spans="1:15" s="1" customFormat="1" ht="13.5" customHeight="1">
      <c r="A12" s="192">
        <v>7</v>
      </c>
      <c r="B12" s="32"/>
      <c r="C12" s="251" t="s">
        <v>119</v>
      </c>
      <c r="D12" s="240"/>
      <c r="E12" s="241"/>
      <c r="F12" s="244"/>
      <c r="G12" s="240" t="s">
        <v>92</v>
      </c>
      <c r="H12" s="37"/>
      <c r="I12" s="34"/>
      <c r="J12" s="189">
        <f t="shared" si="1"/>
        <v>0</v>
      </c>
      <c r="K12" s="190" t="str">
        <f t="shared" si="2"/>
        <v>Taja Šketa Rozman Cestnik / Iza Rozman</v>
      </c>
      <c r="L12" s="190" t="str">
        <f t="shared" si="0"/>
        <v>Taja Šketa Rozman Cestnik </v>
      </c>
      <c r="M12" s="191">
        <f t="shared" si="3"/>
        <v>0</v>
      </c>
      <c r="N12" s="190" t="str">
        <f t="shared" si="4"/>
        <v>Iza Rozman </v>
      </c>
      <c r="O12" s="191">
        <f t="shared" si="5"/>
        <v>0</v>
      </c>
    </row>
    <row r="13" spans="1:15" s="1" customFormat="1" ht="13.5" customHeight="1">
      <c r="A13" s="192">
        <v>8</v>
      </c>
      <c r="B13" s="32"/>
      <c r="C13" s="251" t="s">
        <v>116</v>
      </c>
      <c r="D13" s="240"/>
      <c r="E13" s="241"/>
      <c r="F13" s="242"/>
      <c r="G13" s="240" t="s">
        <v>77</v>
      </c>
      <c r="H13" s="37"/>
      <c r="I13" s="34"/>
      <c r="J13" s="189">
        <f t="shared" si="1"/>
        <v>0</v>
      </c>
      <c r="K13" s="190" t="str">
        <f t="shared" si="2"/>
        <v>Lea Žnidaršič Ok Logatec / Tinkara Nagode</v>
      </c>
      <c r="L13" s="190" t="str">
        <f t="shared" si="0"/>
        <v>Lea Žnidaršič Ok Logatec </v>
      </c>
      <c r="M13" s="191">
        <f t="shared" si="3"/>
        <v>0</v>
      </c>
      <c r="N13" s="190" t="str">
        <f t="shared" si="4"/>
        <v>Tinkara Nagode </v>
      </c>
      <c r="O13" s="191">
        <f t="shared" si="5"/>
        <v>0</v>
      </c>
    </row>
    <row r="14" spans="1:15" s="1" customFormat="1" ht="13.5" customHeight="1">
      <c r="A14" s="192">
        <v>9</v>
      </c>
      <c r="B14" s="32"/>
      <c r="C14" s="251" t="s">
        <v>113</v>
      </c>
      <c r="D14" s="240"/>
      <c r="E14" s="241"/>
      <c r="F14" s="244"/>
      <c r="G14" s="240" t="s">
        <v>78</v>
      </c>
      <c r="H14" s="37"/>
      <c r="I14" s="34"/>
      <c r="J14" s="189">
        <f t="shared" si="1"/>
        <v>0</v>
      </c>
      <c r="K14" s="190" t="str">
        <f t="shared" si="2"/>
        <v>Ajda Kolar Vital / Luna Lavrič</v>
      </c>
      <c r="L14" s="190" t="str">
        <f t="shared" si="0"/>
        <v>Ajda Kolar Vital </v>
      </c>
      <c r="M14" s="191">
        <f t="shared" si="3"/>
        <v>0</v>
      </c>
      <c r="N14" s="190" t="str">
        <f t="shared" si="4"/>
        <v>Luna Lavrič </v>
      </c>
      <c r="O14" s="191">
        <f t="shared" si="5"/>
        <v>0</v>
      </c>
    </row>
    <row r="15" spans="1:15" s="1" customFormat="1" ht="13.5" customHeight="1">
      <c r="A15" s="192">
        <v>10</v>
      </c>
      <c r="B15" s="32"/>
      <c r="C15" s="251" t="s">
        <v>117</v>
      </c>
      <c r="D15" s="240"/>
      <c r="E15" s="241"/>
      <c r="F15" s="242"/>
      <c r="G15" s="240" t="s">
        <v>79</v>
      </c>
      <c r="H15" s="37"/>
      <c r="I15" s="34"/>
      <c r="J15" s="189">
        <f t="shared" si="1"/>
        <v>0</v>
      </c>
      <c r="K15" s="190" t="str">
        <f t="shared" si="2"/>
        <v>Maša Menard ok Logatec / Zoja Petelin</v>
      </c>
      <c r="L15" s="190" t="str">
        <f t="shared" si="0"/>
        <v>Maša Menard ok Logatec </v>
      </c>
      <c r="M15" s="191">
        <f t="shared" si="3"/>
        <v>0</v>
      </c>
      <c r="N15" s="190" t="str">
        <f t="shared" si="4"/>
        <v>Zoja Petelin </v>
      </c>
      <c r="O15" s="191">
        <f t="shared" si="5"/>
        <v>0</v>
      </c>
    </row>
    <row r="16" spans="1:15" s="1" customFormat="1" ht="13.5" customHeight="1">
      <c r="A16" s="192">
        <v>11</v>
      </c>
      <c r="B16" s="32"/>
      <c r="C16" s="251" t="s">
        <v>111</v>
      </c>
      <c r="D16" s="240"/>
      <c r="E16" s="241"/>
      <c r="F16" s="244"/>
      <c r="G16" s="240" t="s">
        <v>80</v>
      </c>
      <c r="H16" s="37"/>
      <c r="I16" s="34"/>
      <c r="J16" s="189">
        <f t="shared" si="1"/>
        <v>0</v>
      </c>
      <c r="K16" s="190" t="str">
        <f t="shared" si="2"/>
        <v>Neja Železnik Calcit / Lana Špetič</v>
      </c>
      <c r="L16" s="190" t="str">
        <f t="shared" si="0"/>
        <v>Neja Železnik Calcit </v>
      </c>
      <c r="M16" s="191">
        <f t="shared" si="3"/>
        <v>0</v>
      </c>
      <c r="N16" s="190" t="str">
        <f t="shared" si="4"/>
        <v>Lana Špetič </v>
      </c>
      <c r="O16" s="191">
        <f t="shared" si="5"/>
        <v>0</v>
      </c>
    </row>
    <row r="17" spans="1:15" s="1" customFormat="1" ht="13.5" customHeight="1">
      <c r="A17" s="192">
        <v>12</v>
      </c>
      <c r="B17" s="32"/>
      <c r="C17" s="240" t="s">
        <v>102</v>
      </c>
      <c r="D17" s="240"/>
      <c r="E17" s="241"/>
      <c r="F17" s="242"/>
      <c r="G17" s="240" t="s">
        <v>81</v>
      </c>
      <c r="H17" s="37" t="s">
        <v>100</v>
      </c>
      <c r="I17" s="34"/>
      <c r="J17" s="189">
        <f t="shared" si="1"/>
        <v>0</v>
      </c>
      <c r="K17" s="190" t="str">
        <f t="shared" si="2"/>
        <v>Katerina Đokić Calcit / Lea Vidmar</v>
      </c>
      <c r="L17" s="190" t="str">
        <f t="shared" si="0"/>
        <v>Katerina Đokić Calcit </v>
      </c>
      <c r="M17" s="191">
        <f t="shared" si="3"/>
        <v>0</v>
      </c>
      <c r="N17" s="190" t="str">
        <f t="shared" si="4"/>
        <v>Lea Vidmar </v>
      </c>
      <c r="O17" s="191" t="str">
        <f t="shared" si="5"/>
        <v>Calcit</v>
      </c>
    </row>
    <row r="18" spans="1:15" s="1" customFormat="1" ht="13.5" customHeight="1">
      <c r="A18" s="192">
        <v>13</v>
      </c>
      <c r="B18" s="32"/>
      <c r="C18" s="240" t="s">
        <v>103</v>
      </c>
      <c r="D18" s="240"/>
      <c r="E18" s="247"/>
      <c r="F18" s="244"/>
      <c r="G18" s="240" t="s">
        <v>82</v>
      </c>
      <c r="H18" s="37" t="s">
        <v>100</v>
      </c>
      <c r="I18" s="36"/>
      <c r="J18" s="189">
        <f t="shared" si="1"/>
        <v>0</v>
      </c>
      <c r="K18" s="190" t="str">
        <f t="shared" si="2"/>
        <v>Ajda Hribar Calcit / Eva Albič</v>
      </c>
      <c r="L18" s="190" t="str">
        <f t="shared" si="0"/>
        <v>Ajda Hribar Calcit </v>
      </c>
      <c r="M18" s="191">
        <f t="shared" si="3"/>
        <v>0</v>
      </c>
      <c r="N18" s="190" t="str">
        <f t="shared" si="4"/>
        <v>Eva Albič </v>
      </c>
      <c r="O18" s="191" t="str">
        <f t="shared" si="5"/>
        <v>Calcit</v>
      </c>
    </row>
    <row r="19" spans="1:15" s="1" customFormat="1" ht="13.5" customHeight="1">
      <c r="A19" s="192">
        <v>14</v>
      </c>
      <c r="B19" s="32"/>
      <c r="C19" s="240" t="s">
        <v>109</v>
      </c>
      <c r="D19" s="240"/>
      <c r="E19" s="241"/>
      <c r="F19" s="242"/>
      <c r="G19" s="240" t="s">
        <v>83</v>
      </c>
      <c r="H19" s="37"/>
      <c r="I19" s="34"/>
      <c r="J19" s="189">
        <f t="shared" si="1"/>
        <v>0</v>
      </c>
      <c r="K19" s="190" t="str">
        <f t="shared" si="2"/>
        <v>Neja Legan Žužemberk / Tia Kopač</v>
      </c>
      <c r="L19" s="190" t="str">
        <f t="shared" si="0"/>
        <v>Neja Legan Žužemberk </v>
      </c>
      <c r="M19" s="191">
        <f t="shared" si="3"/>
        <v>0</v>
      </c>
      <c r="N19" s="190" t="str">
        <f t="shared" si="4"/>
        <v>Tia Kopač </v>
      </c>
      <c r="O19" s="191">
        <f t="shared" si="5"/>
        <v>0</v>
      </c>
    </row>
    <row r="20" spans="1:15" s="1" customFormat="1" ht="13.5" customHeight="1">
      <c r="A20" s="192">
        <v>15</v>
      </c>
      <c r="B20" s="32"/>
      <c r="C20" s="240" t="s">
        <v>108</v>
      </c>
      <c r="D20" s="240"/>
      <c r="E20" s="247"/>
      <c r="F20" s="244"/>
      <c r="G20" s="240" t="s">
        <v>84</v>
      </c>
      <c r="H20" s="37"/>
      <c r="I20" s="36"/>
      <c r="J20" s="189">
        <f t="shared" si="1"/>
        <v>0</v>
      </c>
      <c r="K20" s="190" t="str">
        <f t="shared" si="2"/>
        <v>Neja Potočnik Lubnik / Lia Pipp</v>
      </c>
      <c r="L20" s="190" t="str">
        <f t="shared" si="0"/>
        <v>Neja Potočnik Lubnik </v>
      </c>
      <c r="M20" s="191">
        <f t="shared" si="3"/>
        <v>0</v>
      </c>
      <c r="N20" s="190" t="str">
        <f t="shared" si="4"/>
        <v>Lia Pipp </v>
      </c>
      <c r="O20" s="191">
        <f t="shared" si="5"/>
        <v>0</v>
      </c>
    </row>
    <row r="21" spans="1:15" s="1" customFormat="1" ht="13.5" customHeight="1">
      <c r="A21" s="192">
        <v>16</v>
      </c>
      <c r="B21" s="32"/>
      <c r="C21" s="267" t="s">
        <v>85</v>
      </c>
      <c r="D21" s="267"/>
      <c r="E21" s="268"/>
      <c r="F21" s="269"/>
      <c r="G21" s="267" t="s">
        <v>86</v>
      </c>
      <c r="H21" s="37"/>
      <c r="I21" s="34"/>
      <c r="J21" s="189">
        <f t="shared" si="1"/>
        <v>0</v>
      </c>
      <c r="K21" s="190" t="str">
        <f t="shared" si="2"/>
        <v>Lea Ivančič / Ota Strojnik</v>
      </c>
      <c r="L21" s="190" t="str">
        <f t="shared" si="0"/>
        <v>Lea Ivančič </v>
      </c>
      <c r="M21" s="191">
        <f t="shared" si="3"/>
        <v>0</v>
      </c>
      <c r="N21" s="190" t="str">
        <f t="shared" si="4"/>
        <v>Ota Strojnik </v>
      </c>
      <c r="O21" s="191">
        <f t="shared" si="5"/>
        <v>0</v>
      </c>
    </row>
    <row r="22" spans="1:15" s="1" customFormat="1" ht="13.5" customHeight="1">
      <c r="A22" s="192">
        <v>17</v>
      </c>
      <c r="B22" s="32"/>
      <c r="C22" s="240" t="s">
        <v>104</v>
      </c>
      <c r="D22" s="240"/>
      <c r="E22" s="243"/>
      <c r="F22" s="244"/>
      <c r="G22" s="240" t="s">
        <v>87</v>
      </c>
      <c r="H22" s="37" t="s">
        <v>98</v>
      </c>
      <c r="I22" s="39"/>
      <c r="J22" s="189">
        <f t="shared" si="1"/>
        <v>0</v>
      </c>
      <c r="K22" s="190" t="str">
        <f t="shared" si="2"/>
        <v>Lara Goršič Lubnik / Nina Šifrar</v>
      </c>
      <c r="L22" s="190" t="str">
        <f t="shared" si="0"/>
        <v>Lara Goršič Lubnik </v>
      </c>
      <c r="M22" s="191">
        <f t="shared" si="3"/>
        <v>0</v>
      </c>
      <c r="N22" s="190" t="str">
        <f t="shared" si="4"/>
        <v>Nina Šifrar </v>
      </c>
      <c r="O22" s="191" t="str">
        <f t="shared" si="5"/>
        <v>Lubnik</v>
      </c>
    </row>
    <row r="23" spans="1:15" s="1" customFormat="1" ht="13.5" customHeight="1">
      <c r="A23" s="192">
        <v>18</v>
      </c>
      <c r="B23" s="32"/>
      <c r="C23" s="240" t="s">
        <v>105</v>
      </c>
      <c r="D23" s="240"/>
      <c r="E23" s="241"/>
      <c r="F23" s="242"/>
      <c r="G23" s="240" t="s">
        <v>88</v>
      </c>
      <c r="H23" s="37" t="s">
        <v>98</v>
      </c>
      <c r="I23" s="34"/>
      <c r="J23" s="189">
        <f t="shared" si="1"/>
        <v>0</v>
      </c>
      <c r="K23" s="190" t="str">
        <f t="shared" si="2"/>
        <v>Vesna Kondić Lubnik / Mina Krek</v>
      </c>
      <c r="L23" s="190" t="str">
        <f t="shared" si="0"/>
        <v>Vesna Kondić Lubnik </v>
      </c>
      <c r="M23" s="191">
        <f t="shared" si="3"/>
        <v>0</v>
      </c>
      <c r="N23" s="190" t="str">
        <f t="shared" si="4"/>
        <v>Mina Krek </v>
      </c>
      <c r="O23" s="191" t="str">
        <f t="shared" si="5"/>
        <v>Lubnik</v>
      </c>
    </row>
    <row r="24" spans="1:15" s="1" customFormat="1" ht="13.5" customHeight="1">
      <c r="A24" s="192">
        <v>19</v>
      </c>
      <c r="B24" s="32"/>
      <c r="C24" s="240" t="s">
        <v>110</v>
      </c>
      <c r="D24" s="240"/>
      <c r="E24" s="247"/>
      <c r="F24" s="244"/>
      <c r="G24" s="240" t="s">
        <v>89</v>
      </c>
      <c r="H24" s="37"/>
      <c r="I24" s="36"/>
      <c r="J24" s="189">
        <f t="shared" si="1"/>
        <v>0</v>
      </c>
      <c r="K24" s="190" t="str">
        <f t="shared" si="2"/>
        <v>Dita Reflak Vital / Katarina Kim Kilar</v>
      </c>
      <c r="L24" s="190" t="str">
        <f t="shared" si="0"/>
        <v>Dita Reflak Vital </v>
      </c>
      <c r="M24" s="191">
        <f t="shared" si="3"/>
        <v>0</v>
      </c>
      <c r="N24" s="190" t="str">
        <f t="shared" si="4"/>
        <v>Katarina Kim Kilar </v>
      </c>
      <c r="O24" s="191">
        <f t="shared" si="5"/>
        <v>0</v>
      </c>
    </row>
    <row r="25" spans="1:15" s="1" customFormat="1" ht="13.5" customHeight="1" thickBot="1">
      <c r="A25" s="192">
        <v>20</v>
      </c>
      <c r="B25" s="32"/>
      <c r="C25" s="240" t="s">
        <v>107</v>
      </c>
      <c r="D25" s="248"/>
      <c r="E25" s="241"/>
      <c r="F25" s="242"/>
      <c r="G25" s="240" t="s">
        <v>90</v>
      </c>
      <c r="H25" s="37"/>
      <c r="I25" s="34"/>
      <c r="J25" s="189">
        <f t="shared" si="1"/>
        <v>0</v>
      </c>
      <c r="K25" s="190" t="str">
        <f t="shared" si="2"/>
        <v>Pia Primožič Logatec / Nina Simončič</v>
      </c>
      <c r="L25" s="190" t="str">
        <f t="shared" si="0"/>
        <v>Pia Primožič Logatec </v>
      </c>
      <c r="M25" s="191">
        <f t="shared" si="3"/>
        <v>0</v>
      </c>
      <c r="N25" s="190" t="str">
        <f t="shared" si="4"/>
        <v>Nina Simončič </v>
      </c>
      <c r="O25" s="191">
        <f t="shared" si="5"/>
        <v>0</v>
      </c>
    </row>
    <row r="26" spans="1:15" s="1" customFormat="1" ht="13.5" customHeight="1" thickBot="1">
      <c r="A26" s="192">
        <v>21</v>
      </c>
      <c r="B26" s="32"/>
      <c r="C26" s="248" t="s">
        <v>106</v>
      </c>
      <c r="D26" s="249"/>
      <c r="E26" s="241"/>
      <c r="F26" s="244"/>
      <c r="G26" s="248" t="s">
        <v>91</v>
      </c>
      <c r="H26" s="37"/>
      <c r="I26" s="34"/>
      <c r="J26" s="189">
        <f t="shared" si="1"/>
        <v>0</v>
      </c>
      <c r="K26" s="190" t="str">
        <f t="shared" si="2"/>
        <v>Maruša Hočevar Žužemberk / Maja Dovč</v>
      </c>
      <c r="L26" s="190" t="str">
        <f t="shared" si="0"/>
        <v>Maruša Hočevar Žužemberk </v>
      </c>
      <c r="M26" s="191">
        <f t="shared" si="3"/>
        <v>0</v>
      </c>
      <c r="N26" s="190" t="str">
        <f t="shared" si="4"/>
        <v>Maja Dovč </v>
      </c>
      <c r="O26" s="191">
        <f t="shared" si="5"/>
        <v>0</v>
      </c>
    </row>
    <row r="27" spans="1:15" s="1" customFormat="1" ht="13.5" customHeight="1">
      <c r="A27" s="192">
        <v>22</v>
      </c>
      <c r="B27" s="32"/>
      <c r="C27" s="35"/>
      <c r="D27" s="38"/>
      <c r="E27" s="39"/>
      <c r="F27" s="35"/>
      <c r="G27" s="35"/>
      <c r="H27" s="37"/>
      <c r="I27" s="39"/>
      <c r="J27" s="189">
        <f t="shared" si="1"/>
        <v>0</v>
      </c>
      <c r="K27" s="190" t="str">
        <f t="shared" si="2"/>
        <v> / </v>
      </c>
      <c r="L27" s="190" t="str">
        <f t="shared" si="0"/>
        <v> </v>
      </c>
      <c r="M27" s="191">
        <f t="shared" si="3"/>
        <v>0</v>
      </c>
      <c r="N27" s="190" t="str">
        <f t="shared" si="4"/>
        <v> </v>
      </c>
      <c r="O27" s="191">
        <f t="shared" si="5"/>
        <v>0</v>
      </c>
    </row>
    <row r="28" spans="1:15" s="1" customFormat="1" ht="13.5" customHeight="1">
      <c r="A28" s="192">
        <v>23</v>
      </c>
      <c r="B28" s="32"/>
      <c r="C28" s="32"/>
      <c r="D28" s="37"/>
      <c r="E28" s="34"/>
      <c r="F28" s="32"/>
      <c r="G28" s="32"/>
      <c r="H28" s="37"/>
      <c r="I28" s="34"/>
      <c r="J28" s="189">
        <f t="shared" si="1"/>
        <v>0</v>
      </c>
      <c r="K28" s="190" t="str">
        <f t="shared" si="2"/>
        <v> / </v>
      </c>
      <c r="L28" s="190" t="str">
        <f t="shared" si="0"/>
        <v> </v>
      </c>
      <c r="M28" s="191">
        <f t="shared" si="3"/>
        <v>0</v>
      </c>
      <c r="N28" s="190" t="str">
        <f t="shared" si="4"/>
        <v> </v>
      </c>
      <c r="O28" s="191">
        <f t="shared" si="5"/>
        <v>0</v>
      </c>
    </row>
    <row r="29" spans="1:15" s="1" customFormat="1" ht="13.5" customHeight="1">
      <c r="A29" s="192">
        <v>24</v>
      </c>
      <c r="B29" s="32"/>
      <c r="C29" s="35"/>
      <c r="D29" s="38"/>
      <c r="E29" s="34"/>
      <c r="F29" s="32"/>
      <c r="G29" s="35"/>
      <c r="H29" s="37"/>
      <c r="I29" s="34"/>
      <c r="J29" s="189">
        <f t="shared" si="1"/>
        <v>0</v>
      </c>
      <c r="K29" s="190" t="str">
        <f t="shared" si="2"/>
        <v> / </v>
      </c>
      <c r="L29" s="190" t="str">
        <f t="shared" si="0"/>
        <v> </v>
      </c>
      <c r="M29" s="191">
        <f t="shared" si="3"/>
        <v>0</v>
      </c>
      <c r="N29" s="190" t="str">
        <f t="shared" si="4"/>
        <v> </v>
      </c>
      <c r="O29" s="191">
        <f t="shared" si="5"/>
        <v>0</v>
      </c>
    </row>
  </sheetData>
  <sheetProtection/>
  <conditionalFormatting sqref="J1:J3">
    <cfRule type="containsText" priority="1" dxfId="1" operator="containsText" stopIfTrue="1" text="OK">
      <formula>NOT(ISERROR(SEARCH("OK",J1)))</formula>
    </cfRule>
    <cfRule type="containsText" priority="2" dxfId="0" operator="containsText" stopIfTrue="1" text="NAPAKA">
      <formula>NOT(ISERROR(SEARCH("NAPAKA",J1)))</formula>
    </cfRule>
  </conditionalFormatting>
  <printOptions horizontalCentered="1"/>
  <pageMargins left="0.3937007874015748" right="0.2755905511811024" top="0.7874015748031497" bottom="0.3937007874015748" header="0.2362204724409449" footer="0.3937007874015748"/>
  <pageSetup orientation="landscape" paperSize="9" r:id="rId2"/>
  <headerFooter alignWithMargins="0">
    <oddHeader>&amp;C&amp;12EKIPE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75" zoomScaleNormal="75" zoomScalePageLayoutView="0" workbookViewId="0" topLeftCell="A25">
      <selection activeCell="F48" sqref="F48"/>
    </sheetView>
  </sheetViews>
  <sheetFormatPr defaultColWidth="9.140625" defaultRowHeight="12.75"/>
  <cols>
    <col min="1" max="1" width="6.140625" style="4" customWidth="1"/>
    <col min="2" max="2" width="5.28125" style="4" customWidth="1"/>
    <col min="3" max="3" width="13.140625" style="4" customWidth="1"/>
    <col min="4" max="4" width="50.140625" style="4" customWidth="1"/>
    <col min="5" max="5" width="3.57421875" style="4" customWidth="1"/>
    <col min="6" max="6" width="45.8515625" style="4" customWidth="1"/>
    <col min="7" max="7" width="2.7109375" style="4" customWidth="1"/>
    <col min="8" max="8" width="1.7109375" style="4" customWidth="1"/>
    <col min="9" max="9" width="2.7109375" style="4" customWidth="1"/>
    <col min="10" max="10" width="18.28125" style="4" customWidth="1"/>
    <col min="11" max="11" width="3.8515625" style="4" customWidth="1"/>
    <col min="12" max="12" width="1.7109375" style="4" customWidth="1"/>
    <col min="13" max="14" width="3.8515625" style="4" customWidth="1"/>
    <col min="15" max="15" width="1.7109375" style="4" customWidth="1"/>
    <col min="16" max="17" width="3.8515625" style="4" customWidth="1"/>
    <col min="18" max="18" width="1.7109375" style="4" customWidth="1"/>
    <col min="19" max="19" width="3.8515625" style="4" customWidth="1"/>
    <col min="20" max="21" width="9.140625" style="3" customWidth="1"/>
    <col min="22" max="22" width="21.00390625" style="3" customWidth="1"/>
    <col min="23" max="16384" width="9.140625" style="3" customWidth="1"/>
  </cols>
  <sheetData>
    <row r="1" spans="1:21" ht="15">
      <c r="A1" s="230" t="str">
        <f>'Seznam ekip'!C1</f>
        <v>Državno prvenstvo U-16 dekleta Žužemberk - kval</v>
      </c>
      <c r="B1" s="230"/>
      <c r="C1" s="230"/>
      <c r="D1" s="230"/>
      <c r="E1" s="230"/>
      <c r="F1" s="230"/>
      <c r="G1" s="231" t="str">
        <f>'Seznam ekip'!C3</f>
        <v>01.07.2023</v>
      </c>
      <c r="H1" s="231"/>
      <c r="I1" s="231"/>
      <c r="J1" s="231"/>
      <c r="K1" s="42"/>
      <c r="L1" s="42"/>
      <c r="M1" s="42"/>
      <c r="N1" s="42"/>
      <c r="O1" s="42"/>
      <c r="P1" s="42"/>
      <c r="Q1" s="42"/>
      <c r="R1" s="42"/>
      <c r="S1" s="42"/>
      <c r="T1" s="43"/>
      <c r="U1" s="43"/>
    </row>
    <row r="2" spans="1:21" ht="15.7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</row>
    <row r="3" spans="1:22" s="12" customFormat="1" ht="45" customHeight="1" thickBot="1" thickTop="1">
      <c r="A3" s="44" t="s">
        <v>19</v>
      </c>
      <c r="B3" s="45" t="s">
        <v>20</v>
      </c>
      <c r="C3" s="45" t="s">
        <v>21</v>
      </c>
      <c r="D3" s="46" t="s">
        <v>22</v>
      </c>
      <c r="E3" s="46" t="s">
        <v>0</v>
      </c>
      <c r="F3" s="47" t="s">
        <v>23</v>
      </c>
      <c r="G3" s="48" t="s">
        <v>24</v>
      </c>
      <c r="H3" s="49"/>
      <c r="I3" s="50"/>
      <c r="J3" s="51" t="s">
        <v>25</v>
      </c>
      <c r="K3" s="52" t="s">
        <v>1</v>
      </c>
      <c r="L3" s="49"/>
      <c r="M3" s="53"/>
      <c r="N3" s="52" t="s">
        <v>2</v>
      </c>
      <c r="O3" s="49"/>
      <c r="P3" s="53"/>
      <c r="Q3" s="52" t="s">
        <v>3</v>
      </c>
      <c r="R3" s="49"/>
      <c r="S3" s="49"/>
      <c r="T3" s="187" t="s">
        <v>59</v>
      </c>
      <c r="U3" s="187" t="s">
        <v>58</v>
      </c>
      <c r="V3" s="188" t="s">
        <v>67</v>
      </c>
    </row>
    <row r="4" spans="1:24" s="8" customFormat="1" ht="15" customHeight="1" thickTop="1">
      <c r="A4" s="197">
        <v>1</v>
      </c>
      <c r="B4" s="198" t="s">
        <v>4</v>
      </c>
      <c r="C4" s="199"/>
      <c r="D4" s="209" t="str">
        <f>IF('Seznam ekip'!$K$21=" / ",CONCATENATE("Ekipa št.",'Seznam ekip'!$A$21),'Seznam ekip'!$K$21)</f>
        <v>Lea Ivančič / Ota Strojnik</v>
      </c>
      <c r="E4" s="200" t="s">
        <v>0</v>
      </c>
      <c r="F4" s="200" t="str">
        <f>IF('Seznam ekip'!$K$22=" / ",CONCATENATE("Ekipa št.",'Seznam ekip'!$A$22),'Seznam ekip'!$K$22)</f>
        <v>Lara Goršič Lubnik / Nina Šifrar</v>
      </c>
      <c r="G4" s="210">
        <v>0</v>
      </c>
      <c r="H4" s="211" t="s">
        <v>29</v>
      </c>
      <c r="I4" s="212">
        <v>2</v>
      </c>
      <c r="J4" s="203">
        <f>U4-T4</f>
        <v>0</v>
      </c>
      <c r="K4" s="213"/>
      <c r="L4" s="211" t="s">
        <v>29</v>
      </c>
      <c r="M4" s="214"/>
      <c r="N4" s="213"/>
      <c r="O4" s="211" t="s">
        <v>29</v>
      </c>
      <c r="P4" s="214"/>
      <c r="Q4" s="213"/>
      <c r="R4" s="211" t="s">
        <v>29</v>
      </c>
      <c r="S4" s="215"/>
      <c r="T4" s="216"/>
      <c r="U4" s="216"/>
      <c r="V4" s="238" t="s">
        <v>97</v>
      </c>
      <c r="X4" s="196" t="s">
        <v>95</v>
      </c>
    </row>
    <row r="5" spans="1:22" s="8" customFormat="1" ht="15" customHeight="1">
      <c r="A5" s="54">
        <v>2</v>
      </c>
      <c r="B5" s="55" t="s">
        <v>4</v>
      </c>
      <c r="C5" s="9"/>
      <c r="D5" s="31" t="str">
        <f>IF('Seznam ekip'!$K$14=" / ",CONCATENATE("Ekipa št.",'Seznam ekip'!$A$14),'Seznam ekip'!$K$14)</f>
        <v>Ajda Kolar Vital / Luna Lavrič</v>
      </c>
      <c r="E5" s="31" t="s">
        <v>0</v>
      </c>
      <c r="F5" s="31" t="str">
        <f>IF('Seznam ekip'!$K$29=" / ",CONCATENATE("Ekipa št.",'Seznam ekip'!$A$29),'Seznam ekip'!$K$29)</f>
        <v>Ekipa št.24</v>
      </c>
      <c r="G5" s="98">
        <v>2</v>
      </c>
      <c r="H5" s="57" t="s">
        <v>29</v>
      </c>
      <c r="I5" s="9">
        <v>0</v>
      </c>
      <c r="J5" s="56">
        <f aca="true" t="shared" si="0" ref="J5:J49">U5-T5</f>
        <v>0</v>
      </c>
      <c r="K5" s="87"/>
      <c r="L5" s="57" t="s">
        <v>29</v>
      </c>
      <c r="M5" s="86"/>
      <c r="N5" s="87"/>
      <c r="O5" s="57" t="s">
        <v>29</v>
      </c>
      <c r="P5" s="86"/>
      <c r="Q5" s="87"/>
      <c r="R5" s="57" t="s">
        <v>29</v>
      </c>
      <c r="S5" s="81"/>
      <c r="T5" s="78"/>
      <c r="U5" s="78"/>
      <c r="V5" s="78"/>
    </row>
    <row r="6" spans="1:22" s="8" customFormat="1" ht="15" customHeight="1">
      <c r="A6" s="54">
        <v>3</v>
      </c>
      <c r="B6" s="55" t="s">
        <v>4</v>
      </c>
      <c r="C6" s="250">
        <v>2</v>
      </c>
      <c r="D6" s="252" t="str">
        <f>IF('Seznam ekip'!$K$17=" / ",CONCATENATE("Ekipa št.",'Seznam ekip'!$A$17),'Seznam ekip'!$K$17)</f>
        <v>Katerina Đokić Calcit / Lea Vidmar</v>
      </c>
      <c r="E6" s="252" t="s">
        <v>0</v>
      </c>
      <c r="F6" s="252" t="str">
        <f>IF('Seznam ekip'!$K$26=" / ",CONCATENATE("Ekipa št.",'Seznam ekip'!$A$26),'Seznam ekip'!$K$26)</f>
        <v>Maruša Hočevar Žužemberk / Maja Dovč</v>
      </c>
      <c r="G6" s="98">
        <v>2</v>
      </c>
      <c r="H6" s="57" t="s">
        <v>29</v>
      </c>
      <c r="I6" s="9">
        <v>0</v>
      </c>
      <c r="J6" s="56">
        <f t="shared" si="0"/>
        <v>0.013888888888888895</v>
      </c>
      <c r="K6" s="87">
        <v>15</v>
      </c>
      <c r="L6" s="57" t="s">
        <v>29</v>
      </c>
      <c r="M6" s="86">
        <v>3</v>
      </c>
      <c r="N6" s="87">
        <v>15</v>
      </c>
      <c r="O6" s="57" t="s">
        <v>29</v>
      </c>
      <c r="P6" s="86">
        <v>11</v>
      </c>
      <c r="Q6" s="87"/>
      <c r="R6" s="57" t="s">
        <v>29</v>
      </c>
      <c r="S6" s="81"/>
      <c r="T6" s="186">
        <v>0.375</v>
      </c>
      <c r="U6" s="194">
        <v>0.3888888888888889</v>
      </c>
      <c r="V6" s="78"/>
    </row>
    <row r="7" spans="1:24" s="8" customFormat="1" ht="15" customHeight="1">
      <c r="A7" s="54">
        <v>4</v>
      </c>
      <c r="B7" s="55" t="s">
        <v>4</v>
      </c>
      <c r="C7" s="250">
        <v>3</v>
      </c>
      <c r="D7" s="252" t="str">
        <f>IF('Seznam ekip'!$K$18=" / ",CONCATENATE("Ekipa št.",'Seznam ekip'!$A$18),'Seznam ekip'!$K$18)</f>
        <v>Ajda Hribar Calcit / Eva Albič</v>
      </c>
      <c r="E7" s="252" t="s">
        <v>0</v>
      </c>
      <c r="F7" s="252" t="str">
        <f>IF('Seznam ekip'!$K$25=" / ",CONCATENATE("Ekipa št.",'Seznam ekip'!$A$25),'Seznam ekip'!$K$25)</f>
        <v>Pia Primožič Logatec / Nina Simončič</v>
      </c>
      <c r="G7" s="98">
        <v>2</v>
      </c>
      <c r="H7" s="57" t="s">
        <v>29</v>
      </c>
      <c r="I7" s="9">
        <v>0</v>
      </c>
      <c r="J7" s="56">
        <f t="shared" si="0"/>
        <v>0.013888888888888895</v>
      </c>
      <c r="K7" s="87">
        <v>15</v>
      </c>
      <c r="L7" s="57" t="s">
        <v>29</v>
      </c>
      <c r="M7" s="86">
        <v>5</v>
      </c>
      <c r="N7" s="87">
        <v>15</v>
      </c>
      <c r="O7" s="57" t="s">
        <v>29</v>
      </c>
      <c r="P7" s="86">
        <v>5</v>
      </c>
      <c r="Q7" s="87"/>
      <c r="R7" s="57" t="s">
        <v>29</v>
      </c>
      <c r="S7" s="81"/>
      <c r="T7" s="186">
        <v>0.375</v>
      </c>
      <c r="U7" s="194">
        <v>0.3888888888888889</v>
      </c>
      <c r="V7" s="78"/>
      <c r="X7" s="218" t="s">
        <v>96</v>
      </c>
    </row>
    <row r="8" spans="1:22" s="8" customFormat="1" ht="15" customHeight="1">
      <c r="A8" s="54">
        <v>5</v>
      </c>
      <c r="B8" s="55" t="s">
        <v>4</v>
      </c>
      <c r="C8" s="250">
        <v>1</v>
      </c>
      <c r="D8" s="252" t="str">
        <f>IF('Seznam ekip'!$K$19=" / ",CONCATENATE("Ekipa št.",'Seznam ekip'!$A$19),'Seznam ekip'!$K$19)</f>
        <v>Neja Legan Žužemberk / Tia Kopač</v>
      </c>
      <c r="E8" s="252" t="s">
        <v>0</v>
      </c>
      <c r="F8" s="252" t="str">
        <f>IF('Seznam ekip'!$K$24=" / ",CONCATENATE("Ekipa št.",'Seznam ekip'!$A$24),'Seznam ekip'!$K$24)</f>
        <v>Dita Reflak Vital / Katarina Kim Kilar</v>
      </c>
      <c r="G8" s="98">
        <v>0</v>
      </c>
      <c r="H8" s="57" t="s">
        <v>29</v>
      </c>
      <c r="I8" s="9">
        <v>2</v>
      </c>
      <c r="J8" s="56">
        <f t="shared" si="0"/>
        <v>-0.008333333333333304</v>
      </c>
      <c r="K8" s="87">
        <v>3</v>
      </c>
      <c r="L8" s="57" t="s">
        <v>29</v>
      </c>
      <c r="M8" s="86">
        <v>15</v>
      </c>
      <c r="N8" s="87">
        <v>12</v>
      </c>
      <c r="O8" s="57" t="s">
        <v>29</v>
      </c>
      <c r="P8" s="86">
        <v>15</v>
      </c>
      <c r="Q8" s="87"/>
      <c r="R8" s="57" t="s">
        <v>29</v>
      </c>
      <c r="S8" s="81"/>
      <c r="T8" s="194">
        <v>0.3958333333333333</v>
      </c>
      <c r="U8" s="194">
        <v>0.3875</v>
      </c>
      <c r="V8" s="78"/>
    </row>
    <row r="9" spans="1:22" s="8" customFormat="1" ht="15" customHeight="1">
      <c r="A9" s="197">
        <v>6</v>
      </c>
      <c r="B9" s="198" t="s">
        <v>4</v>
      </c>
      <c r="C9" s="199"/>
      <c r="D9" s="200" t="str">
        <f>IF('Seznam ekip'!$K$16=" / ",CONCATENATE("Ekipa št.",'Seznam ekip'!$A$16),'Seznam ekip'!$K$16)</f>
        <v>Neja Železnik Calcit / Lana Špetič</v>
      </c>
      <c r="E9" s="200" t="s">
        <v>0</v>
      </c>
      <c r="F9" s="200" t="str">
        <f>IF('Seznam ekip'!$K$27=" / ",CONCATENATE("Ekipa št.",'Seznam ekip'!$A$27),'Seznam ekip'!$K$27)</f>
        <v>Ekipa št.22</v>
      </c>
      <c r="G9" s="201">
        <v>2</v>
      </c>
      <c r="H9" s="202" t="s">
        <v>29</v>
      </c>
      <c r="I9" s="199">
        <v>0</v>
      </c>
      <c r="J9" s="203">
        <f t="shared" si="0"/>
        <v>0</v>
      </c>
      <c r="K9" s="204"/>
      <c r="L9" s="202" t="s">
        <v>29</v>
      </c>
      <c r="M9" s="205"/>
      <c r="N9" s="204"/>
      <c r="O9" s="202" t="s">
        <v>29</v>
      </c>
      <c r="P9" s="205"/>
      <c r="Q9" s="204"/>
      <c r="R9" s="202" t="s">
        <v>29</v>
      </c>
      <c r="S9" s="206"/>
      <c r="T9" s="207"/>
      <c r="U9" s="207"/>
      <c r="V9" s="207" t="s">
        <v>96</v>
      </c>
    </row>
    <row r="10" spans="1:22" s="8" customFormat="1" ht="15" customHeight="1">
      <c r="A10" s="197">
        <v>7</v>
      </c>
      <c r="B10" s="198" t="s">
        <v>4</v>
      </c>
      <c r="C10" s="199"/>
      <c r="D10" s="200" t="str">
        <f>IF('Seznam ekip'!$K$15=" / ",CONCATENATE("Ekipa št.",'Seznam ekip'!$A$15),'Seznam ekip'!$K$15)</f>
        <v>Maša Menard ok Logatec / Zoja Petelin</v>
      </c>
      <c r="E10" s="200" t="s">
        <v>0</v>
      </c>
      <c r="F10" s="200" t="str">
        <f>IF('Seznam ekip'!$K$28=" / ",CONCATENATE("Ekipa št.",'Seznam ekip'!$A$28),'Seznam ekip'!$K$28)</f>
        <v>Ekipa št.23</v>
      </c>
      <c r="G10" s="201">
        <v>2</v>
      </c>
      <c r="H10" s="202" t="s">
        <v>29</v>
      </c>
      <c r="I10" s="199">
        <v>0</v>
      </c>
      <c r="J10" s="203">
        <f t="shared" si="0"/>
        <v>0</v>
      </c>
      <c r="K10" s="204"/>
      <c r="L10" s="202" t="s">
        <v>29</v>
      </c>
      <c r="M10" s="205"/>
      <c r="N10" s="204"/>
      <c r="O10" s="202" t="s">
        <v>29</v>
      </c>
      <c r="P10" s="205"/>
      <c r="Q10" s="204"/>
      <c r="R10" s="202" t="s">
        <v>29</v>
      </c>
      <c r="S10" s="206"/>
      <c r="T10" s="208"/>
      <c r="U10" s="207"/>
      <c r="V10" s="207" t="s">
        <v>96</v>
      </c>
    </row>
    <row r="11" spans="1:22" s="8" customFormat="1" ht="15" customHeight="1" thickBot="1">
      <c r="A11" s="58">
        <v>8</v>
      </c>
      <c r="B11" s="59" t="s">
        <v>4</v>
      </c>
      <c r="C11" s="270">
        <v>2</v>
      </c>
      <c r="D11" s="271" t="str">
        <f>IF('Seznam ekip'!$K$20=" / ",CONCATENATE("Ekipa št.",'Seznam ekip'!$A$20),'Seznam ekip'!$K$20)</f>
        <v>Neja Potočnik Lubnik / Lia Pipp</v>
      </c>
      <c r="E11" s="271" t="s">
        <v>0</v>
      </c>
      <c r="F11" s="271" t="str">
        <f>IF('Seznam ekip'!$K$23=" / ",CONCATENATE("Ekipa št.",'Seznam ekip'!$A$23),'Seznam ekip'!$K$23)</f>
        <v>Vesna Kondić Lubnik / Mina Krek</v>
      </c>
      <c r="G11" s="99">
        <v>2</v>
      </c>
      <c r="H11" s="61" t="s">
        <v>29</v>
      </c>
      <c r="I11" s="17">
        <v>1</v>
      </c>
      <c r="J11" s="62">
        <f t="shared" si="0"/>
        <v>-0.3958333333333333</v>
      </c>
      <c r="K11" s="89">
        <v>15</v>
      </c>
      <c r="L11" s="61" t="s">
        <v>29</v>
      </c>
      <c r="M11" s="88">
        <v>13</v>
      </c>
      <c r="N11" s="89">
        <v>1</v>
      </c>
      <c r="O11" s="61" t="s">
        <v>29</v>
      </c>
      <c r="P11" s="88">
        <v>15</v>
      </c>
      <c r="Q11" s="89">
        <v>15</v>
      </c>
      <c r="R11" s="61" t="s">
        <v>29</v>
      </c>
      <c r="S11" s="82">
        <v>7</v>
      </c>
      <c r="T11" s="194">
        <v>0.3958333333333333</v>
      </c>
      <c r="U11" s="14"/>
      <c r="V11" s="14"/>
    </row>
    <row r="12" spans="1:22" s="8" customFormat="1" ht="15" customHeight="1">
      <c r="A12" s="63">
        <v>9</v>
      </c>
      <c r="B12" s="64" t="s">
        <v>5</v>
      </c>
      <c r="C12" s="253"/>
      <c r="D12" s="260" t="str">
        <f>IF('Seznam ekip'!$K$6=" / ",CONCATENATE("Ekipa št.",'Seznam ekip'!$A$6),'Seznam ekip'!$K$6)</f>
        <v>Julija Četina / Iza Koren</v>
      </c>
      <c r="E12" s="254" t="s">
        <v>0</v>
      </c>
      <c r="F12" s="254" t="str">
        <f>IF($G$4=$I$4,CONCATENATE("Zmagovalec tekme #",$A$4),IF($G$4&gt;$I$4,$D$4,$F$4))</f>
        <v>Lara Goršič Lubnik / Nina Šifrar</v>
      </c>
      <c r="G12" s="255">
        <v>0</v>
      </c>
      <c r="H12" s="256" t="s">
        <v>29</v>
      </c>
      <c r="I12" s="253">
        <v>2</v>
      </c>
      <c r="J12" s="257">
        <f t="shared" si="0"/>
        <v>-0.3958333333333333</v>
      </c>
      <c r="K12" s="258"/>
      <c r="L12" s="256" t="s">
        <v>29</v>
      </c>
      <c r="M12" s="259"/>
      <c r="N12" s="258"/>
      <c r="O12" s="256" t="s">
        <v>29</v>
      </c>
      <c r="P12" s="259"/>
      <c r="Q12" s="258"/>
      <c r="R12" s="256" t="s">
        <v>29</v>
      </c>
      <c r="S12" s="215"/>
      <c r="T12" s="208">
        <v>0.3958333333333333</v>
      </c>
      <c r="U12" s="217"/>
      <c r="V12" s="217" t="s">
        <v>96</v>
      </c>
    </row>
    <row r="13" spans="1:22" s="8" customFormat="1" ht="15" customHeight="1">
      <c r="A13" s="54">
        <f aca="true" t="shared" si="1" ref="A13:A19">SUM(A12,1)</f>
        <v>10</v>
      </c>
      <c r="B13" s="55" t="s">
        <v>5</v>
      </c>
      <c r="C13" s="273">
        <v>1</v>
      </c>
      <c r="D13" s="272" t="str">
        <f>IF($G$5=$I$5,CONCATENATE("Zmagovalec tekme #",$A$5),IF($G$5&gt;$I$5,$D$5,$F$5))</f>
        <v>Ajda Kolar Vital / Luna Lavrič</v>
      </c>
      <c r="E13" s="272" t="s">
        <v>0</v>
      </c>
      <c r="F13" s="272" t="str">
        <f>IF('Seznam ekip'!$K$13=" / ",CONCATENATE("Ekipa št.",'Seznam ekip'!$A$13),'Seznam ekip'!$K$13)</f>
        <v>Lea Žnidaršič Ok Logatec / Tinkara Nagode</v>
      </c>
      <c r="G13" s="98">
        <v>2</v>
      </c>
      <c r="H13" s="57" t="s">
        <v>29</v>
      </c>
      <c r="I13" s="9">
        <v>0</v>
      </c>
      <c r="J13" s="56">
        <f t="shared" si="0"/>
        <v>-0.4166666666666667</v>
      </c>
      <c r="K13" s="87">
        <v>16</v>
      </c>
      <c r="L13" s="57" t="s">
        <v>29</v>
      </c>
      <c r="M13" s="86">
        <v>14</v>
      </c>
      <c r="N13" s="87">
        <v>15</v>
      </c>
      <c r="O13" s="57" t="s">
        <v>29</v>
      </c>
      <c r="P13" s="86">
        <v>10</v>
      </c>
      <c r="Q13" s="87"/>
      <c r="R13" s="57" t="s">
        <v>29</v>
      </c>
      <c r="S13" s="81"/>
      <c r="T13" s="194">
        <v>0.4166666666666667</v>
      </c>
      <c r="U13" s="78"/>
      <c r="V13" s="78"/>
    </row>
    <row r="14" spans="1:22" s="8" customFormat="1" ht="15" customHeight="1">
      <c r="A14" s="54">
        <f t="shared" si="1"/>
        <v>11</v>
      </c>
      <c r="B14" s="55" t="s">
        <v>5</v>
      </c>
      <c r="C14" s="273">
        <v>2</v>
      </c>
      <c r="D14" s="252" t="str">
        <f>IF('Seznam ekip'!$K$10=" / ",CONCATENATE("Ekipa št.",'Seznam ekip'!$A$10),'Seznam ekip'!$K$10)</f>
        <v>Živa Bastjančič  vc Portorož / Valentina Dilica Valentinčič</v>
      </c>
      <c r="E14" s="252" t="s">
        <v>0</v>
      </c>
      <c r="F14" s="252" t="str">
        <f>IF($G$6=$I$6,CONCATENATE("Zmagovalec tekme #",$A$6),IF($G$6&gt;$I$6,$D$6,$F$6))</f>
        <v>Katerina Đokić Calcit / Lea Vidmar</v>
      </c>
      <c r="G14" s="98">
        <v>1</v>
      </c>
      <c r="H14" s="57" t="s">
        <v>29</v>
      </c>
      <c r="I14" s="9">
        <v>2</v>
      </c>
      <c r="J14" s="56">
        <f t="shared" si="0"/>
        <v>-0.4166666666666667</v>
      </c>
      <c r="K14" s="87">
        <v>10</v>
      </c>
      <c r="L14" s="57" t="s">
        <v>29</v>
      </c>
      <c r="M14" s="86">
        <v>15</v>
      </c>
      <c r="N14" s="87">
        <v>16</v>
      </c>
      <c r="O14" s="57" t="s">
        <v>29</v>
      </c>
      <c r="P14" s="86">
        <v>14</v>
      </c>
      <c r="Q14" s="87">
        <v>11</v>
      </c>
      <c r="R14" s="57" t="s">
        <v>29</v>
      </c>
      <c r="S14" s="81">
        <v>15</v>
      </c>
      <c r="T14" s="194">
        <v>0.4166666666666667</v>
      </c>
      <c r="U14" s="78"/>
      <c r="V14" s="78"/>
    </row>
    <row r="15" spans="1:22" s="8" customFormat="1" ht="15" customHeight="1">
      <c r="A15" s="54">
        <f t="shared" si="1"/>
        <v>12</v>
      </c>
      <c r="B15" s="55" t="s">
        <v>5</v>
      </c>
      <c r="C15" s="273">
        <v>3</v>
      </c>
      <c r="D15" s="252" t="str">
        <f>IF($G$7=$I$7,CONCATENATE("Zmagovalec tekme #",$A$7),IF($G$7&gt;$I$7,$D$7,$F$7))</f>
        <v>Ajda Hribar Calcit / Eva Albič</v>
      </c>
      <c r="E15" s="252" t="s">
        <v>0</v>
      </c>
      <c r="F15" s="252" t="str">
        <f>IF('Seznam ekip'!$K$9=" / ",CONCATENATE("Ekipa št.",'Seznam ekip'!$A$9),'Seznam ekip'!$K$9)</f>
        <v>Katjuša Plot Žužemberk / Neža Novak</v>
      </c>
      <c r="G15" s="98">
        <v>2</v>
      </c>
      <c r="H15" s="57" t="s">
        <v>29</v>
      </c>
      <c r="I15" s="9">
        <v>1</v>
      </c>
      <c r="J15" s="56">
        <f t="shared" si="0"/>
        <v>-0.4166666666666667</v>
      </c>
      <c r="K15" s="87">
        <v>15</v>
      </c>
      <c r="L15" s="57" t="s">
        <v>29</v>
      </c>
      <c r="M15" s="86">
        <v>5</v>
      </c>
      <c r="N15" s="87">
        <v>4</v>
      </c>
      <c r="O15" s="57" t="s">
        <v>29</v>
      </c>
      <c r="P15" s="86">
        <v>15</v>
      </c>
      <c r="Q15" s="87">
        <v>15</v>
      </c>
      <c r="R15" s="57" t="s">
        <v>29</v>
      </c>
      <c r="S15" s="81">
        <v>11</v>
      </c>
      <c r="T15" s="194">
        <v>0.4166666666666667</v>
      </c>
      <c r="U15" s="78"/>
      <c r="V15" s="78"/>
    </row>
    <row r="16" spans="1:22" s="8" customFormat="1" ht="15" customHeight="1">
      <c r="A16" s="54">
        <f t="shared" si="1"/>
        <v>13</v>
      </c>
      <c r="B16" s="55" t="s">
        <v>5</v>
      </c>
      <c r="C16" s="250">
        <v>1</v>
      </c>
      <c r="D16" s="252" t="str">
        <f>IF('Seznam ekip'!$K$8=" / ",CONCATENATE("Ekipa št.",'Seznam ekip'!$A$8),'Seznam ekip'!$K$8)</f>
        <v>Zara Nahtigal Lavrič Žužemberk / Ana Štravs</v>
      </c>
      <c r="E16" s="252" t="s">
        <v>0</v>
      </c>
      <c r="F16" s="252" t="str">
        <f>IF($G$8=$I$8,CONCATENATE("Zmagovalec tekme #",$A$8),IF($G$8&gt;$I$8,$D$8,$F$8))</f>
        <v>Dita Reflak Vital / Katarina Kim Kilar</v>
      </c>
      <c r="G16" s="98">
        <v>0</v>
      </c>
      <c r="H16" s="57" t="s">
        <v>29</v>
      </c>
      <c r="I16" s="9">
        <v>2</v>
      </c>
      <c r="J16" s="56">
        <f t="shared" si="0"/>
        <v>-0.4375</v>
      </c>
      <c r="K16" s="87">
        <v>3</v>
      </c>
      <c r="L16" s="57" t="s">
        <v>29</v>
      </c>
      <c r="M16" s="86">
        <v>15</v>
      </c>
      <c r="N16" s="87">
        <v>5</v>
      </c>
      <c r="O16" s="57" t="s">
        <v>29</v>
      </c>
      <c r="P16" s="86">
        <v>15</v>
      </c>
      <c r="Q16" s="87"/>
      <c r="R16" s="57" t="s">
        <v>29</v>
      </c>
      <c r="S16" s="81"/>
      <c r="T16" s="194">
        <v>0.4375</v>
      </c>
      <c r="U16" s="78"/>
      <c r="V16" s="78"/>
    </row>
    <row r="17" spans="1:22" s="8" customFormat="1" ht="15" customHeight="1">
      <c r="A17" s="54">
        <f t="shared" si="1"/>
        <v>14</v>
      </c>
      <c r="B17" s="55" t="s">
        <v>5</v>
      </c>
      <c r="C17" s="273">
        <v>2</v>
      </c>
      <c r="D17" s="252" t="str">
        <f>IF($G$9=$I$9,CONCATENATE("Zmagovalec tekme #",$A$9),IF($G$9&gt;$I$9,$D$9,$F$9))</f>
        <v>Neja Železnik Calcit / Lana Špetič</v>
      </c>
      <c r="E17" s="252" t="s">
        <v>0</v>
      </c>
      <c r="F17" s="252" t="str">
        <f>IF('Seznam ekip'!$K$11=" / ",CONCATENATE("Ekipa št.",'Seznam ekip'!$A$11),'Seznam ekip'!$K$11)</f>
        <v>Živa Šoštarič Cestnik / Izabela Rošer</v>
      </c>
      <c r="G17" s="98">
        <v>0</v>
      </c>
      <c r="H17" s="57" t="s">
        <v>29</v>
      </c>
      <c r="I17" s="9">
        <v>2</v>
      </c>
      <c r="J17" s="56">
        <f t="shared" si="0"/>
        <v>-0.4375</v>
      </c>
      <c r="K17" s="87">
        <v>10</v>
      </c>
      <c r="L17" s="57" t="s">
        <v>29</v>
      </c>
      <c r="M17" s="86">
        <v>15</v>
      </c>
      <c r="N17" s="87">
        <v>7</v>
      </c>
      <c r="O17" s="57" t="s">
        <v>29</v>
      </c>
      <c r="P17" s="86">
        <v>15</v>
      </c>
      <c r="Q17" s="87"/>
      <c r="R17" s="57" t="s">
        <v>29</v>
      </c>
      <c r="S17" s="81"/>
      <c r="T17" s="194">
        <v>0.4375</v>
      </c>
      <c r="U17" s="78"/>
      <c r="V17" s="78"/>
    </row>
    <row r="18" spans="1:22" s="8" customFormat="1" ht="15" customHeight="1">
      <c r="A18" s="54">
        <f t="shared" si="1"/>
        <v>15</v>
      </c>
      <c r="B18" s="55" t="s">
        <v>5</v>
      </c>
      <c r="C18" s="9">
        <v>3</v>
      </c>
      <c r="D18" s="252" t="str">
        <f>IF('Seznam ekip'!$K$12=" / ",CONCATENATE("Ekipa št.",'Seznam ekip'!$A$12),'Seznam ekip'!$K$12)</f>
        <v>Taja Šketa Rozman Cestnik / Iza Rozman</v>
      </c>
      <c r="E18" s="252" t="s">
        <v>0</v>
      </c>
      <c r="F18" s="252" t="str">
        <f>IF($G$10=$I$10,CONCATENATE("Zmagovalec tekme #",$A$10),IF($G$10&gt;$I$10,$D$10,$F$10))</f>
        <v>Maša Menard ok Logatec / Zoja Petelin</v>
      </c>
      <c r="G18" s="98">
        <v>2</v>
      </c>
      <c r="H18" s="57" t="s">
        <v>29</v>
      </c>
      <c r="I18" s="9">
        <v>0</v>
      </c>
      <c r="J18" s="56">
        <f t="shared" si="0"/>
        <v>-0.4375</v>
      </c>
      <c r="K18" s="87">
        <v>15</v>
      </c>
      <c r="L18" s="57" t="s">
        <v>29</v>
      </c>
      <c r="M18" s="86">
        <v>5</v>
      </c>
      <c r="N18" s="87">
        <v>15</v>
      </c>
      <c r="O18" s="57" t="s">
        <v>29</v>
      </c>
      <c r="P18" s="86">
        <v>13</v>
      </c>
      <c r="Q18" s="87"/>
      <c r="R18" s="57" t="s">
        <v>29</v>
      </c>
      <c r="S18" s="81"/>
      <c r="T18" s="194">
        <v>0.4375</v>
      </c>
      <c r="U18" s="78"/>
      <c r="V18" s="78"/>
    </row>
    <row r="19" spans="1:22" s="8" customFormat="1" ht="15" customHeight="1" thickBot="1">
      <c r="A19" s="58">
        <f t="shared" si="1"/>
        <v>16</v>
      </c>
      <c r="B19" s="59" t="s">
        <v>5</v>
      </c>
      <c r="C19" s="274">
        <v>1</v>
      </c>
      <c r="D19" s="275" t="str">
        <f>IF($G$11=$I$11,CONCATENATE("Zmagovalec tekme #",$A$11),IF($G$11&gt;$I$11,$D$11,$F$11))</f>
        <v>Neja Potočnik Lubnik / Lia Pipp</v>
      </c>
      <c r="E19" s="275" t="s">
        <v>0</v>
      </c>
      <c r="F19" s="275" t="str">
        <f>IF('Seznam ekip'!$K$7=" / ",CONCATENATE("Ekipa št.",'Seznam ekip'!$A$7),'Seznam ekip'!$K$7)</f>
        <v>Sara Radunović Vital / Nina Debelak</v>
      </c>
      <c r="G19" s="276">
        <v>2</v>
      </c>
      <c r="H19" s="277" t="s">
        <v>29</v>
      </c>
      <c r="I19" s="274">
        <v>1</v>
      </c>
      <c r="J19" s="62">
        <f t="shared" si="0"/>
        <v>-0.4583333333333333</v>
      </c>
      <c r="K19" s="89">
        <v>15</v>
      </c>
      <c r="L19" s="61" t="s">
        <v>29</v>
      </c>
      <c r="M19" s="88">
        <v>11</v>
      </c>
      <c r="N19" s="89">
        <v>17</v>
      </c>
      <c r="O19" s="61" t="s">
        <v>29</v>
      </c>
      <c r="P19" s="88">
        <v>15</v>
      </c>
      <c r="Q19" s="89">
        <v>15</v>
      </c>
      <c r="R19" s="61" t="s">
        <v>29</v>
      </c>
      <c r="S19" s="82">
        <v>13</v>
      </c>
      <c r="T19" s="195">
        <v>0.4583333333333333</v>
      </c>
      <c r="U19" s="14"/>
      <c r="V19" s="14"/>
    </row>
    <row r="20" spans="1:22" s="8" customFormat="1" ht="15" customHeight="1">
      <c r="A20" s="63">
        <v>17</v>
      </c>
      <c r="B20" s="64">
        <v>17</v>
      </c>
      <c r="C20" s="15"/>
      <c r="D20" s="65" t="str">
        <f>IF($G$11=$I$11,CONCATENATE("Poraženec tekme #",$A$11),IF($G$11&lt;$I$11,$D$11,$F$11))</f>
        <v>Vesna Kondić Lubnik / Mina Krek</v>
      </c>
      <c r="E20" s="65" t="s">
        <v>0</v>
      </c>
      <c r="F20" s="265" t="str">
        <f>IF($G$12=$I$12,CONCATENATE("Poraženec tekme #",$A$12),IF($G$12&lt;$I$12,$D$12,$F$12))</f>
        <v>Julija Četina / Iza Koren</v>
      </c>
      <c r="G20" s="100">
        <v>2</v>
      </c>
      <c r="H20" s="66" t="s">
        <v>29</v>
      </c>
      <c r="I20" s="15">
        <v>0</v>
      </c>
      <c r="J20" s="67">
        <f t="shared" si="0"/>
        <v>0</v>
      </c>
      <c r="K20" s="91"/>
      <c r="L20" s="66" t="s">
        <v>29</v>
      </c>
      <c r="M20" s="90"/>
      <c r="N20" s="91"/>
      <c r="O20" s="66" t="s">
        <v>29</v>
      </c>
      <c r="P20" s="90"/>
      <c r="Q20" s="91"/>
      <c r="R20" s="66" t="s">
        <v>29</v>
      </c>
      <c r="S20" s="83"/>
      <c r="T20" s="16"/>
      <c r="U20" s="16"/>
      <c r="V20" s="16"/>
    </row>
    <row r="21" spans="1:22" s="8" customFormat="1" ht="15" customHeight="1">
      <c r="A21" s="54">
        <v>18</v>
      </c>
      <c r="B21" s="55">
        <v>17</v>
      </c>
      <c r="C21" s="199"/>
      <c r="D21" s="200" t="str">
        <f>IF($G$13=$I$13,CONCATENATE("Poraženec tekme #",$A$13),IF($G$13&lt;$I$13,$D$13,$F$13))</f>
        <v>Lea Žnidaršič Ok Logatec / Tinkara Nagode</v>
      </c>
      <c r="E21" s="200" t="s">
        <v>0</v>
      </c>
      <c r="F21" s="200" t="str">
        <f>IF($G$10=$I$10,CONCATENATE("Poraženec tekme #",$A$10),IF($G$10&lt;$I$10,$D$10,$F$10))</f>
        <v>Ekipa št.23</v>
      </c>
      <c r="G21" s="201">
        <v>2</v>
      </c>
      <c r="H21" s="202" t="s">
        <v>29</v>
      </c>
      <c r="I21" s="199">
        <v>0</v>
      </c>
      <c r="J21" s="203">
        <f t="shared" si="0"/>
        <v>0</v>
      </c>
      <c r="K21" s="204"/>
      <c r="L21" s="202" t="s">
        <v>29</v>
      </c>
      <c r="M21" s="205"/>
      <c r="N21" s="204"/>
      <c r="O21" s="202" t="s">
        <v>29</v>
      </c>
      <c r="P21" s="205"/>
      <c r="Q21" s="204"/>
      <c r="R21" s="202" t="s">
        <v>29</v>
      </c>
      <c r="S21" s="206"/>
      <c r="T21" s="207"/>
      <c r="U21" s="207"/>
      <c r="V21" s="207" t="s">
        <v>120</v>
      </c>
    </row>
    <row r="22" spans="1:22" s="8" customFormat="1" ht="15" customHeight="1">
      <c r="A22" s="54">
        <v>19</v>
      </c>
      <c r="B22" s="55">
        <v>17</v>
      </c>
      <c r="C22" s="199"/>
      <c r="D22" s="200" t="str">
        <f>IF($G$9=$I$9,CONCATENATE("Poraženec tekme #",$A$9),IF($G$9&lt;$I$9,$D$9,$F$9))</f>
        <v>Ekipa št.22</v>
      </c>
      <c r="E22" s="200" t="s">
        <v>0</v>
      </c>
      <c r="F22" s="200" t="str">
        <f>IF($G$14=$I$14,CONCATENATE("Poraženec tekme #",$A$14),IF($G$14&lt;$I$14,$D$14,$F$14))</f>
        <v>Živa Bastjančič  vc Portorož / Valentina Dilica Valentinčič</v>
      </c>
      <c r="G22" s="201">
        <v>0</v>
      </c>
      <c r="H22" s="202" t="s">
        <v>29</v>
      </c>
      <c r="I22" s="199">
        <v>2</v>
      </c>
      <c r="J22" s="203">
        <f t="shared" si="0"/>
        <v>0</v>
      </c>
      <c r="K22" s="204"/>
      <c r="L22" s="202" t="s">
        <v>29</v>
      </c>
      <c r="M22" s="205"/>
      <c r="N22" s="204"/>
      <c r="O22" s="202" t="s">
        <v>29</v>
      </c>
      <c r="P22" s="205"/>
      <c r="Q22" s="204"/>
      <c r="R22" s="202" t="s">
        <v>29</v>
      </c>
      <c r="S22" s="206"/>
      <c r="T22" s="207"/>
      <c r="U22" s="207"/>
      <c r="V22" s="207" t="s">
        <v>120</v>
      </c>
    </row>
    <row r="23" spans="1:22" s="8" customFormat="1" ht="15" customHeight="1">
      <c r="A23" s="54">
        <v>20</v>
      </c>
      <c r="B23" s="55">
        <v>17</v>
      </c>
      <c r="C23" s="273">
        <v>2</v>
      </c>
      <c r="D23" s="252" t="str">
        <f>IF($G$15=$I$15,CONCATENATE("Poraženec tekme #",$A$15),IF($G$15&lt;$I$15,$D$15,$F$15))</f>
        <v>Katjuša Plot Žužemberk / Neža Novak</v>
      </c>
      <c r="E23" s="252" t="s">
        <v>0</v>
      </c>
      <c r="F23" s="252" t="str">
        <f>IF($G$8=$I$8,CONCATENATE("Poraženec tekme #",$A$8),IF($G$8&lt;$I$8,$D$8,$F$8))</f>
        <v>Neja Legan Žužemberk / Tia Kopač</v>
      </c>
      <c r="G23" s="98">
        <v>2</v>
      </c>
      <c r="H23" s="57" t="s">
        <v>29</v>
      </c>
      <c r="I23" s="9">
        <v>0</v>
      </c>
      <c r="J23" s="56">
        <f t="shared" si="0"/>
        <v>0</v>
      </c>
      <c r="K23" s="87">
        <v>15</v>
      </c>
      <c r="L23" s="57" t="s">
        <v>29</v>
      </c>
      <c r="M23" s="86">
        <v>9</v>
      </c>
      <c r="N23" s="87">
        <v>15</v>
      </c>
      <c r="O23" s="57" t="s">
        <v>29</v>
      </c>
      <c r="P23" s="86">
        <v>13</v>
      </c>
      <c r="Q23" s="87"/>
      <c r="R23" s="57" t="s">
        <v>29</v>
      </c>
      <c r="S23" s="81"/>
      <c r="T23" s="78"/>
      <c r="U23" s="78"/>
      <c r="V23" s="78"/>
    </row>
    <row r="24" spans="1:22" s="8" customFormat="1" ht="15" customHeight="1">
      <c r="A24" s="54">
        <v>21</v>
      </c>
      <c r="B24" s="55">
        <v>17</v>
      </c>
      <c r="C24" s="273">
        <v>3</v>
      </c>
      <c r="D24" s="252" t="str">
        <f>IF($G$7=$I$7,CONCATENATE("Poraženec tekme #",$A$7),IF($G$7&lt;$I$7,$D$7,$F$7))</f>
        <v>Pia Primožič Logatec / Nina Simončič</v>
      </c>
      <c r="E24" s="252" t="s">
        <v>0</v>
      </c>
      <c r="F24" s="252" t="str">
        <f>IF($G$16=$I$16,CONCATENATE("Poraženec tekme #",$A$16),IF($G$16&lt;$I$16,$D$16,$F$16))</f>
        <v>Zara Nahtigal Lavrič Žužemberk / Ana Štravs</v>
      </c>
      <c r="G24" s="98">
        <v>1</v>
      </c>
      <c r="H24" s="57" t="s">
        <v>29</v>
      </c>
      <c r="I24" s="9">
        <v>2</v>
      </c>
      <c r="J24" s="56">
        <f t="shared" si="0"/>
        <v>0</v>
      </c>
      <c r="K24" s="87">
        <v>11</v>
      </c>
      <c r="L24" s="57" t="s">
        <v>29</v>
      </c>
      <c r="M24" s="86">
        <v>15</v>
      </c>
      <c r="N24" s="87">
        <v>15</v>
      </c>
      <c r="O24" s="57" t="s">
        <v>29</v>
      </c>
      <c r="P24" s="86">
        <v>5</v>
      </c>
      <c r="Q24" s="87">
        <v>8</v>
      </c>
      <c r="R24" s="57" t="s">
        <v>29</v>
      </c>
      <c r="S24" s="81">
        <v>15</v>
      </c>
      <c r="T24" s="78"/>
      <c r="U24" s="78"/>
      <c r="V24" s="78"/>
    </row>
    <row r="25" spans="1:22" s="8" customFormat="1" ht="15" customHeight="1">
      <c r="A25" s="54">
        <v>22</v>
      </c>
      <c r="B25" s="55">
        <v>17</v>
      </c>
      <c r="C25" s="250">
        <v>3</v>
      </c>
      <c r="D25" s="252" t="str">
        <f>IF($G$17=$I$17,CONCATENATE("Poraženec tekme #",$A$17),IF($G$17&lt;$I$17,$D$17,$F$17))</f>
        <v>Neja Železnik Calcit / Lana Špetič</v>
      </c>
      <c r="E25" s="252" t="s">
        <v>0</v>
      </c>
      <c r="F25" s="252" t="str">
        <f>IF($G$6=$I$6,CONCATENATE("Poraženec tekme #",$A$6),IF($G$6&lt;$I$6,$D$6,$F$6))</f>
        <v>Maruša Hočevar Žužemberk / Maja Dovč</v>
      </c>
      <c r="G25" s="98">
        <v>2</v>
      </c>
      <c r="H25" s="57" t="s">
        <v>29</v>
      </c>
      <c r="I25" s="9">
        <v>1</v>
      </c>
      <c r="J25" s="56">
        <f t="shared" si="0"/>
        <v>0</v>
      </c>
      <c r="K25" s="87">
        <v>15</v>
      </c>
      <c r="L25" s="57" t="s">
        <v>29</v>
      </c>
      <c r="M25" s="86">
        <v>13</v>
      </c>
      <c r="N25" s="87">
        <v>14</v>
      </c>
      <c r="O25" s="57" t="s">
        <v>29</v>
      </c>
      <c r="P25" s="86">
        <v>16</v>
      </c>
      <c r="Q25" s="87">
        <v>15</v>
      </c>
      <c r="R25" s="57" t="s">
        <v>29</v>
      </c>
      <c r="S25" s="81">
        <v>3</v>
      </c>
      <c r="T25" s="78"/>
      <c r="U25" s="78"/>
      <c r="V25" s="78"/>
    </row>
    <row r="26" spans="1:22" s="8" customFormat="1" ht="15" customHeight="1">
      <c r="A26" s="54">
        <v>23</v>
      </c>
      <c r="B26" s="55">
        <v>17</v>
      </c>
      <c r="C26" s="199"/>
      <c r="D26" s="200" t="str">
        <f>IF($G$5=$I$5,CONCATENATE("Poraženec tekme #",$A$5),IF($G$5&lt;$I$5,$D$5,$F$5))</f>
        <v>Ekipa št.24</v>
      </c>
      <c r="E26" s="200" t="s">
        <v>0</v>
      </c>
      <c r="F26" s="200" t="str">
        <f>IF($G$18=$I$18,CONCATENATE("Poraženec tekme #",$A$18),IF($G$18&lt;$I$18,$D$18,$F$18))</f>
        <v>Maša Menard ok Logatec / Zoja Petelin</v>
      </c>
      <c r="G26" s="201">
        <v>0</v>
      </c>
      <c r="H26" s="202" t="s">
        <v>29</v>
      </c>
      <c r="I26" s="199">
        <v>2</v>
      </c>
      <c r="J26" s="203">
        <f t="shared" si="0"/>
        <v>0</v>
      </c>
      <c r="K26" s="204"/>
      <c r="L26" s="202" t="s">
        <v>29</v>
      </c>
      <c r="M26" s="205"/>
      <c r="N26" s="204"/>
      <c r="O26" s="202" t="s">
        <v>29</v>
      </c>
      <c r="P26" s="205"/>
      <c r="Q26" s="204"/>
      <c r="R26" s="202" t="s">
        <v>29</v>
      </c>
      <c r="S26" s="206"/>
      <c r="T26" s="207"/>
      <c r="U26" s="207"/>
      <c r="V26" s="207" t="s">
        <v>120</v>
      </c>
    </row>
    <row r="27" spans="1:22" s="8" customFormat="1" ht="15" customHeight="1" thickBot="1">
      <c r="A27" s="219">
        <v>24</v>
      </c>
      <c r="B27" s="220">
        <v>17</v>
      </c>
      <c r="C27" s="221"/>
      <c r="D27" s="222" t="str">
        <f>IF($G$19=$I$19,CONCATENATE("Poraženec tekme #",$A$19),IF($G$19&lt;$I$19,$D$19,$F$19))</f>
        <v>Sara Radunović Vital / Nina Debelak</v>
      </c>
      <c r="E27" s="222" t="s">
        <v>0</v>
      </c>
      <c r="F27" s="222" t="str">
        <f>IF($G$4=$I$4,CONCATENATE("Poraženec tekme #",$A$4),IF($G$4&lt;$I$4,$D$4,$F$4))</f>
        <v>Lea Ivančič / Ota Strojnik</v>
      </c>
      <c r="G27" s="223">
        <v>2</v>
      </c>
      <c r="H27" s="224" t="s">
        <v>29</v>
      </c>
      <c r="I27" s="221">
        <v>0</v>
      </c>
      <c r="J27" s="225">
        <f t="shared" si="0"/>
        <v>0</v>
      </c>
      <c r="K27" s="226"/>
      <c r="L27" s="224" t="s">
        <v>29</v>
      </c>
      <c r="M27" s="227"/>
      <c r="N27" s="226"/>
      <c r="O27" s="224" t="s">
        <v>29</v>
      </c>
      <c r="P27" s="227"/>
      <c r="Q27" s="226"/>
      <c r="R27" s="224" t="s">
        <v>29</v>
      </c>
      <c r="S27" s="228"/>
      <c r="T27" s="229"/>
      <c r="U27" s="229"/>
      <c r="V27" s="229" t="s">
        <v>96</v>
      </c>
    </row>
    <row r="28" spans="1:22" s="8" customFormat="1" ht="15" customHeight="1">
      <c r="A28" s="63">
        <v>25</v>
      </c>
      <c r="B28" s="64" t="s">
        <v>6</v>
      </c>
      <c r="C28" s="278">
        <v>1</v>
      </c>
      <c r="D28" s="279" t="str">
        <f>IF($G$12=$I$12,CONCATENATE("Zmagovalec tekme #",$A$12),IF($G$12&gt;$I$12,$D$12,$F$12))</f>
        <v>Lara Goršič Lubnik / Nina Šifrar</v>
      </c>
      <c r="E28" s="279" t="s">
        <v>0</v>
      </c>
      <c r="F28" s="279" t="str">
        <f>IF($G$13=$I$13,CONCATENATE("Zmagovalec tekme #",$A$13),IF($G$13&gt;$I$13,$D$13,$F$13))</f>
        <v>Ajda Kolar Vital / Luna Lavrič</v>
      </c>
      <c r="G28" s="280">
        <v>0</v>
      </c>
      <c r="H28" s="281" t="s">
        <v>29</v>
      </c>
      <c r="I28" s="278">
        <v>2</v>
      </c>
      <c r="J28" s="67">
        <f t="shared" si="0"/>
        <v>0</v>
      </c>
      <c r="K28" s="91">
        <v>6</v>
      </c>
      <c r="L28" s="66" t="s">
        <v>29</v>
      </c>
      <c r="M28" s="90">
        <v>15</v>
      </c>
      <c r="N28" s="91">
        <v>6</v>
      </c>
      <c r="O28" s="66" t="s">
        <v>29</v>
      </c>
      <c r="P28" s="90">
        <v>15</v>
      </c>
      <c r="Q28" s="91"/>
      <c r="R28" s="66" t="s">
        <v>29</v>
      </c>
      <c r="S28" s="83"/>
      <c r="T28" s="16"/>
      <c r="U28" s="16"/>
      <c r="V28" s="16"/>
    </row>
    <row r="29" spans="1:22" s="8" customFormat="1" ht="15" customHeight="1">
      <c r="A29" s="54">
        <f>SUM(A28,1)</f>
        <v>26</v>
      </c>
      <c r="B29" s="55" t="s">
        <v>6</v>
      </c>
      <c r="C29" s="250">
        <v>2</v>
      </c>
      <c r="D29" s="252" t="str">
        <f>IF($G$14=$I$14,CONCATENATE("Zmagovalec tekme #",$A$14),IF($G$14&gt;$I$14,$D$14,$F$14))</f>
        <v>Katerina Đokić Calcit / Lea Vidmar</v>
      </c>
      <c r="E29" s="252" t="s">
        <v>0</v>
      </c>
      <c r="F29" s="252" t="str">
        <f>IF($G$15=$I$15,CONCATENATE("Zmagovalec tekme #",$A$15),IF($G$15&gt;$I$15,$D$15,$F$15))</f>
        <v>Ajda Hribar Calcit / Eva Albič</v>
      </c>
      <c r="G29" s="98">
        <v>1</v>
      </c>
      <c r="H29" s="57" t="s">
        <v>29</v>
      </c>
      <c r="I29" s="9">
        <v>2</v>
      </c>
      <c r="J29" s="56">
        <f t="shared" si="0"/>
        <v>0</v>
      </c>
      <c r="K29" s="87">
        <v>15</v>
      </c>
      <c r="L29" s="57" t="s">
        <v>29</v>
      </c>
      <c r="M29" s="86">
        <v>12</v>
      </c>
      <c r="N29" s="87">
        <v>13</v>
      </c>
      <c r="O29" s="57" t="s">
        <v>29</v>
      </c>
      <c r="P29" s="86">
        <v>15</v>
      </c>
      <c r="Q29" s="87">
        <v>9</v>
      </c>
      <c r="R29" s="57" t="s">
        <v>29</v>
      </c>
      <c r="S29" s="81">
        <v>15</v>
      </c>
      <c r="T29" s="78"/>
      <c r="U29" s="78"/>
      <c r="V29" s="78"/>
    </row>
    <row r="30" spans="1:22" s="8" customFormat="1" ht="15" customHeight="1">
      <c r="A30" s="54">
        <f>SUM(A29,1)</f>
        <v>27</v>
      </c>
      <c r="B30" s="55" t="s">
        <v>6</v>
      </c>
      <c r="C30" s="273">
        <v>3</v>
      </c>
      <c r="D30" s="252" t="str">
        <f>IF($G$16=$I$16,CONCATENATE("Zmagovalec tekme #",$A$16),IF($G$16&gt;$I$16,$D$16,$F$16))</f>
        <v>Dita Reflak Vital / Katarina Kim Kilar</v>
      </c>
      <c r="E30" s="252" t="s">
        <v>0</v>
      </c>
      <c r="F30" s="252" t="str">
        <f>IF($G$17=$I$17,CONCATENATE("Zmagovalec tekme #",$A$17),IF($G$17&gt;$I$17,$D$17,$F$17))</f>
        <v>Živa Šoštarič Cestnik / Izabela Rošer</v>
      </c>
      <c r="G30" s="98">
        <v>1</v>
      </c>
      <c r="H30" s="57" t="s">
        <v>29</v>
      </c>
      <c r="I30" s="9">
        <v>2</v>
      </c>
      <c r="J30" s="56">
        <f t="shared" si="0"/>
        <v>0</v>
      </c>
      <c r="K30" s="87">
        <v>15</v>
      </c>
      <c r="L30" s="57" t="s">
        <v>29</v>
      </c>
      <c r="M30" s="86">
        <v>17</v>
      </c>
      <c r="N30" s="87">
        <v>15</v>
      </c>
      <c r="O30" s="57" t="s">
        <v>29</v>
      </c>
      <c r="P30" s="86">
        <v>13</v>
      </c>
      <c r="Q30" s="87">
        <v>13</v>
      </c>
      <c r="R30" s="57" t="s">
        <v>29</v>
      </c>
      <c r="S30" s="81">
        <v>15</v>
      </c>
      <c r="T30" s="78"/>
      <c r="U30" s="78"/>
      <c r="V30" s="78"/>
    </row>
    <row r="31" spans="1:22" s="8" customFormat="1" ht="15" customHeight="1" thickBot="1">
      <c r="A31" s="58">
        <f>SUM(A30,1)</f>
        <v>28</v>
      </c>
      <c r="B31" s="59" t="s">
        <v>6</v>
      </c>
      <c r="C31" s="266">
        <v>1</v>
      </c>
      <c r="D31" s="275" t="str">
        <f>IF($G$18=$I$18,CONCATENATE("Zmagovalec tekme #",$A$18),IF($G$18&gt;$I$18,$D$18,$F$18))</f>
        <v>Taja Šketa Rozman Cestnik / Iza Rozman</v>
      </c>
      <c r="E31" s="275" t="s">
        <v>0</v>
      </c>
      <c r="F31" s="275" t="str">
        <f>IF($G$19=$I$19,CONCATENATE("Zmagovalec tekme #",$A$19),IF($G$19&gt;$I$19,$D$19,$F$19))</f>
        <v>Neja Potočnik Lubnik / Lia Pipp</v>
      </c>
      <c r="G31" s="99">
        <v>2</v>
      </c>
      <c r="H31" s="61" t="s">
        <v>29</v>
      </c>
      <c r="I31" s="17">
        <v>0</v>
      </c>
      <c r="J31" s="62">
        <f t="shared" si="0"/>
        <v>0</v>
      </c>
      <c r="K31" s="89">
        <v>16</v>
      </c>
      <c r="L31" s="61" t="s">
        <v>29</v>
      </c>
      <c r="M31" s="88">
        <v>14</v>
      </c>
      <c r="N31" s="89">
        <v>16</v>
      </c>
      <c r="O31" s="61" t="s">
        <v>29</v>
      </c>
      <c r="P31" s="88">
        <v>14</v>
      </c>
      <c r="Q31" s="89"/>
      <c r="R31" s="61" t="s">
        <v>29</v>
      </c>
      <c r="S31" s="82"/>
      <c r="T31" s="14"/>
      <c r="U31" s="14"/>
      <c r="V31" s="14"/>
    </row>
    <row r="32" spans="1:22" s="10" customFormat="1" ht="15" customHeight="1">
      <c r="A32" s="63">
        <v>29</v>
      </c>
      <c r="B32" s="64">
        <v>13</v>
      </c>
      <c r="C32" s="278">
        <v>3</v>
      </c>
      <c r="D32" s="279" t="str">
        <f>IF($G$27=$I$27,CONCATENATE("Zmagovalec tekme #",$A$27),IF($G$27&gt;$I$27,$D$27,$F$27))</f>
        <v>Sara Radunović Vital / Nina Debelak</v>
      </c>
      <c r="E32" s="279" t="s">
        <v>0</v>
      </c>
      <c r="F32" s="279" t="str">
        <f>IF($G$26=$I$26,CONCATENATE("Zmagovalec tekme #",$A$26),IF($G$26&gt;$I$26,$D$26,$F$26))</f>
        <v>Maša Menard ok Logatec / Zoja Petelin</v>
      </c>
      <c r="G32" s="100">
        <v>2</v>
      </c>
      <c r="H32" s="66" t="s">
        <v>29</v>
      </c>
      <c r="I32" s="15">
        <v>0</v>
      </c>
      <c r="J32" s="67">
        <f t="shared" si="0"/>
        <v>0</v>
      </c>
      <c r="K32" s="91">
        <v>15</v>
      </c>
      <c r="L32" s="66" t="s">
        <v>29</v>
      </c>
      <c r="M32" s="90">
        <v>5</v>
      </c>
      <c r="N32" s="91">
        <v>15</v>
      </c>
      <c r="O32" s="66" t="s">
        <v>29</v>
      </c>
      <c r="P32" s="90">
        <v>4</v>
      </c>
      <c r="Q32" s="91"/>
      <c r="R32" s="66" t="s">
        <v>29</v>
      </c>
      <c r="S32" s="83"/>
      <c r="T32" s="16"/>
      <c r="U32" s="16"/>
      <c r="V32" s="16"/>
    </row>
    <row r="33" spans="1:22" s="8" customFormat="1" ht="15" customHeight="1">
      <c r="A33" s="54">
        <v>30</v>
      </c>
      <c r="B33" s="55">
        <v>13</v>
      </c>
      <c r="C33" s="273">
        <v>1</v>
      </c>
      <c r="D33" s="252" t="str">
        <f>IF($G$25=$I$25,CONCATENATE("Zmagovalec tekme #",$A$25),IF($G$25&gt;$I$25,$D$25,$F$25))</f>
        <v>Neja Železnik Calcit / Lana Špetič</v>
      </c>
      <c r="E33" s="252" t="s">
        <v>0</v>
      </c>
      <c r="F33" s="252" t="str">
        <f>IF($G$24=$I$24,CONCATENATE("Zmagovalec tekme #",$A$24),IF($G$24&gt;$I$24,$D$24,$F$24))</f>
        <v>Zara Nahtigal Lavrič Žužemberk / Ana Štravs</v>
      </c>
      <c r="G33" s="98">
        <v>2</v>
      </c>
      <c r="H33" s="57" t="s">
        <v>29</v>
      </c>
      <c r="I33" s="9">
        <v>0</v>
      </c>
      <c r="J33" s="56">
        <f t="shared" si="0"/>
        <v>0</v>
      </c>
      <c r="K33" s="87">
        <v>16</v>
      </c>
      <c r="L33" s="57" t="s">
        <v>29</v>
      </c>
      <c r="M33" s="86">
        <v>14</v>
      </c>
      <c r="N33" s="87">
        <v>20</v>
      </c>
      <c r="O33" s="57" t="s">
        <v>29</v>
      </c>
      <c r="P33" s="86">
        <v>18</v>
      </c>
      <c r="Q33" s="87"/>
      <c r="R33" s="57" t="s">
        <v>29</v>
      </c>
      <c r="S33" s="81"/>
      <c r="T33" s="78"/>
      <c r="U33" s="78"/>
      <c r="V33" s="78"/>
    </row>
    <row r="34" spans="1:22" s="8" customFormat="1" ht="15" customHeight="1">
      <c r="A34" s="54">
        <v>31</v>
      </c>
      <c r="B34" s="55">
        <v>13</v>
      </c>
      <c r="C34" s="273">
        <v>2</v>
      </c>
      <c r="D34" s="252" t="str">
        <f>IF($G$23=$I$23,CONCATENATE("Zmagovalec tekme #",$A$23),IF($G$23&gt;$I$23,$D$23,$F$23))</f>
        <v>Katjuša Plot Žužemberk / Neža Novak</v>
      </c>
      <c r="E34" s="252" t="s">
        <v>0</v>
      </c>
      <c r="F34" s="252" t="str">
        <f>IF($G$22=$I$22,CONCATENATE("Zmagovalec tekme #",$A$22),IF($G$22&gt;$I$22,$D$22,$F$22))</f>
        <v>Živa Bastjančič  vc Portorož / Valentina Dilica Valentinčič</v>
      </c>
      <c r="G34" s="98">
        <v>2</v>
      </c>
      <c r="H34" s="57" t="s">
        <v>29</v>
      </c>
      <c r="I34" s="9">
        <v>0</v>
      </c>
      <c r="J34" s="56">
        <f t="shared" si="0"/>
        <v>0</v>
      </c>
      <c r="K34" s="87">
        <v>15</v>
      </c>
      <c r="L34" s="57" t="s">
        <v>29</v>
      </c>
      <c r="M34" s="86">
        <v>10</v>
      </c>
      <c r="N34" s="87">
        <v>15</v>
      </c>
      <c r="O34" s="57" t="s">
        <v>29</v>
      </c>
      <c r="P34" s="86">
        <v>12</v>
      </c>
      <c r="Q34" s="87"/>
      <c r="R34" s="57" t="s">
        <v>29</v>
      </c>
      <c r="S34" s="81"/>
      <c r="T34" s="78"/>
      <c r="U34" s="78"/>
      <c r="V34" s="78"/>
    </row>
    <row r="35" spans="1:22" s="8" customFormat="1" ht="15" customHeight="1" thickBot="1">
      <c r="A35" s="58">
        <v>32</v>
      </c>
      <c r="B35" s="59">
        <v>13</v>
      </c>
      <c r="C35" s="274">
        <v>1</v>
      </c>
      <c r="D35" s="275" t="str">
        <f>IF($G$21=$I$21,CONCATENATE("Zmagovalec tekme #",$A$21),IF($G$21&gt;$I$21,$D$21,$F$21))</f>
        <v>Lea Žnidaršič Ok Logatec / Tinkara Nagode</v>
      </c>
      <c r="E35" s="275" t="s">
        <v>0</v>
      </c>
      <c r="F35" s="275" t="str">
        <f>IF($G$20=$I$20,CONCATENATE("Zmagovalec tekme #",$A$20),IF($G$20&gt;$I$20,$D$20,$F$20))</f>
        <v>Vesna Kondić Lubnik / Mina Krek</v>
      </c>
      <c r="G35" s="99">
        <v>2</v>
      </c>
      <c r="H35" s="61" t="s">
        <v>29</v>
      </c>
      <c r="I35" s="17">
        <v>0</v>
      </c>
      <c r="J35" s="62">
        <f t="shared" si="0"/>
        <v>0</v>
      </c>
      <c r="K35" s="89">
        <v>15</v>
      </c>
      <c r="L35" s="61" t="s">
        <v>29</v>
      </c>
      <c r="M35" s="88">
        <v>8</v>
      </c>
      <c r="N35" s="89">
        <v>15</v>
      </c>
      <c r="O35" s="61" t="s">
        <v>29</v>
      </c>
      <c r="P35" s="88">
        <v>3</v>
      </c>
      <c r="Q35" s="89"/>
      <c r="R35" s="61" t="s">
        <v>29</v>
      </c>
      <c r="S35" s="82"/>
      <c r="T35" s="14"/>
      <c r="U35" s="14"/>
      <c r="V35" s="14"/>
    </row>
    <row r="36" spans="1:22" s="8" customFormat="1" ht="15" customHeight="1">
      <c r="A36" s="63">
        <v>33</v>
      </c>
      <c r="B36" s="64">
        <v>9</v>
      </c>
      <c r="C36" s="15">
        <v>2</v>
      </c>
      <c r="D36" s="279" t="str">
        <f>IF($G$32=$I$32,CONCATENATE("Zmagovalec tekme #",$A$32),IF($G$32&gt;$I$32,$D$32,$F$32))</f>
        <v>Sara Radunović Vital / Nina Debelak</v>
      </c>
      <c r="E36" s="279" t="s">
        <v>0</v>
      </c>
      <c r="F36" s="279" t="str">
        <f>IF($G$29=$I$29,CONCATENATE("Poraženec tekme #",$A$29),IF($G$29&lt;$I$29,$D$29,$F$29))</f>
        <v>Katerina Đokić Calcit / Lea Vidmar</v>
      </c>
      <c r="G36" s="100">
        <v>2</v>
      </c>
      <c r="H36" s="66" t="s">
        <v>29</v>
      </c>
      <c r="I36" s="15">
        <v>0</v>
      </c>
      <c r="J36" s="67">
        <f t="shared" si="0"/>
        <v>0</v>
      </c>
      <c r="K36" s="91">
        <v>15</v>
      </c>
      <c r="L36" s="66" t="s">
        <v>29</v>
      </c>
      <c r="M36" s="90">
        <v>8</v>
      </c>
      <c r="N36" s="91">
        <v>15</v>
      </c>
      <c r="O36" s="66" t="s">
        <v>29</v>
      </c>
      <c r="P36" s="90">
        <v>7</v>
      </c>
      <c r="Q36" s="91"/>
      <c r="R36" s="66" t="s">
        <v>29</v>
      </c>
      <c r="S36" s="83"/>
      <c r="T36" s="16"/>
      <c r="U36" s="16"/>
      <c r="V36" s="16"/>
    </row>
    <row r="37" spans="1:22" s="8" customFormat="1" ht="15" customHeight="1">
      <c r="A37" s="54">
        <f aca="true" t="shared" si="2" ref="A37:A48">SUM(A36,1)</f>
        <v>34</v>
      </c>
      <c r="B37" s="55">
        <v>9</v>
      </c>
      <c r="C37" s="273">
        <v>2</v>
      </c>
      <c r="D37" s="252" t="str">
        <f>IF($G$33=$I$33,CONCATENATE("Zmagovalec tekme #",$A$33),IF($G$33&gt;$I$33,$D$33,$F$33))</f>
        <v>Neja Železnik Calcit / Lana Špetič</v>
      </c>
      <c r="E37" s="252" t="s">
        <v>0</v>
      </c>
      <c r="F37" s="252" t="str">
        <f>IF($G$28=$I$28,CONCATENATE("Poraženec tekme #",$A$28),IF($G$28&lt;$I$28,$D$28,$F$28))</f>
        <v>Lara Goršič Lubnik / Nina Šifrar</v>
      </c>
      <c r="G37" s="98">
        <v>2</v>
      </c>
      <c r="H37" s="57" t="s">
        <v>29</v>
      </c>
      <c r="I37" s="9">
        <v>0</v>
      </c>
      <c r="J37" s="56">
        <f t="shared" si="0"/>
        <v>0</v>
      </c>
      <c r="K37" s="87">
        <v>15</v>
      </c>
      <c r="L37" s="57" t="s">
        <v>29</v>
      </c>
      <c r="M37" s="86">
        <v>5</v>
      </c>
      <c r="N37" s="87">
        <v>15</v>
      </c>
      <c r="O37" s="57" t="s">
        <v>29</v>
      </c>
      <c r="P37" s="86">
        <v>7</v>
      </c>
      <c r="Q37" s="87"/>
      <c r="R37" s="57" t="s">
        <v>29</v>
      </c>
      <c r="S37" s="81"/>
      <c r="T37" s="78"/>
      <c r="U37" s="78"/>
      <c r="V37" s="78"/>
    </row>
    <row r="38" spans="1:22" s="8" customFormat="1" ht="15" customHeight="1">
      <c r="A38" s="54">
        <f t="shared" si="2"/>
        <v>35</v>
      </c>
      <c r="B38" s="55">
        <v>9</v>
      </c>
      <c r="C38" s="273">
        <v>1</v>
      </c>
      <c r="D38" s="252" t="str">
        <f>IF($G$34=$I$34,CONCATENATE("Zmagovalec tekme #",$A$34),IF($G$34&gt;$I$34,$D$34,$F$34))</f>
        <v>Katjuša Plot Žužemberk / Neža Novak</v>
      </c>
      <c r="E38" s="252" t="s">
        <v>0</v>
      </c>
      <c r="F38" s="252" t="str">
        <f>IF($G$31=$I$31,CONCATENATE("Poraženec tekme #",$A$31),IF($G$31&lt;$I$31,$D$31,$F$31))</f>
        <v>Neja Potočnik Lubnik / Lia Pipp</v>
      </c>
      <c r="G38" s="98">
        <v>1</v>
      </c>
      <c r="H38" s="57" t="s">
        <v>29</v>
      </c>
      <c r="I38" s="9">
        <v>2</v>
      </c>
      <c r="J38" s="56">
        <f t="shared" si="0"/>
        <v>0</v>
      </c>
      <c r="K38" s="87">
        <v>15</v>
      </c>
      <c r="L38" s="57" t="s">
        <v>29</v>
      </c>
      <c r="M38" s="86">
        <v>7</v>
      </c>
      <c r="N38" s="87">
        <v>12</v>
      </c>
      <c r="O38" s="57" t="s">
        <v>29</v>
      </c>
      <c r="P38" s="86">
        <v>15</v>
      </c>
      <c r="Q38" s="87">
        <v>12</v>
      </c>
      <c r="R38" s="57" t="s">
        <v>29</v>
      </c>
      <c r="S38" s="81">
        <v>15</v>
      </c>
      <c r="T38" s="78"/>
      <c r="U38" s="78"/>
      <c r="V38" s="78"/>
    </row>
    <row r="39" spans="1:22" s="8" customFormat="1" ht="15" customHeight="1" thickBot="1">
      <c r="A39" s="58">
        <f t="shared" si="2"/>
        <v>36</v>
      </c>
      <c r="B39" s="59">
        <v>9</v>
      </c>
      <c r="C39" s="274">
        <v>3</v>
      </c>
      <c r="D39" s="275" t="str">
        <f>IF($G$35=$I$35,CONCATENATE("Zmagovalec tekme #",$A$35),IF($G$35&gt;$I$35,$D$35,$F$35))</f>
        <v>Lea Žnidaršič Ok Logatec / Tinkara Nagode</v>
      </c>
      <c r="E39" s="275" t="s">
        <v>0</v>
      </c>
      <c r="F39" s="275" t="str">
        <f>IF($G$30=$I$30,CONCATENATE("Poraženec tekme #",$A$30),IF($G$30&lt;$I$30,$D$30,$F$30))</f>
        <v>Dita Reflak Vital / Katarina Kim Kilar</v>
      </c>
      <c r="G39" s="99">
        <v>0</v>
      </c>
      <c r="H39" s="61" t="s">
        <v>29</v>
      </c>
      <c r="I39" s="17">
        <v>2</v>
      </c>
      <c r="J39" s="62">
        <f t="shared" si="0"/>
        <v>0</v>
      </c>
      <c r="K39" s="89">
        <v>8</v>
      </c>
      <c r="L39" s="61" t="s">
        <v>29</v>
      </c>
      <c r="M39" s="88">
        <v>15</v>
      </c>
      <c r="N39" s="89">
        <v>8</v>
      </c>
      <c r="O39" s="61" t="s">
        <v>29</v>
      </c>
      <c r="P39" s="88">
        <v>15</v>
      </c>
      <c r="Q39" s="89"/>
      <c r="R39" s="61" t="s">
        <v>29</v>
      </c>
      <c r="S39" s="82"/>
      <c r="T39" s="14"/>
      <c r="U39" s="14"/>
      <c r="V39" s="14"/>
    </row>
    <row r="40" spans="1:22" s="8" customFormat="1" ht="15" customHeight="1">
      <c r="A40" s="63">
        <f t="shared" si="2"/>
        <v>37</v>
      </c>
      <c r="B40" s="64" t="s">
        <v>7</v>
      </c>
      <c r="C40" s="15">
        <v>2</v>
      </c>
      <c r="D40" s="279" t="str">
        <f>IF($G$28=$I$28,CONCATENATE("Zmagovalec tekme #",$A$28),IF($G$28&gt;$I$28,$D$28,$F$28))</f>
        <v>Ajda Kolar Vital / Luna Lavrič</v>
      </c>
      <c r="E40" s="279" t="s">
        <v>0</v>
      </c>
      <c r="F40" s="279" t="str">
        <f>IF($G$29=$I$29,CONCATENATE("Zmagovalec tekme #",$A$29),IF($G$29&gt;$I$29,$D$29,$F$29))</f>
        <v>Ajda Hribar Calcit / Eva Albič</v>
      </c>
      <c r="G40" s="100">
        <v>2</v>
      </c>
      <c r="H40" s="66" t="s">
        <v>29</v>
      </c>
      <c r="I40" s="15">
        <v>0</v>
      </c>
      <c r="J40" s="67">
        <f t="shared" si="0"/>
        <v>0</v>
      </c>
      <c r="K40" s="91">
        <v>15</v>
      </c>
      <c r="L40" s="66" t="s">
        <v>29</v>
      </c>
      <c r="M40" s="90">
        <v>10</v>
      </c>
      <c r="N40" s="91">
        <v>15</v>
      </c>
      <c r="O40" s="66" t="s">
        <v>29</v>
      </c>
      <c r="P40" s="90">
        <v>12</v>
      </c>
      <c r="Q40" s="91"/>
      <c r="R40" s="66" t="s">
        <v>29</v>
      </c>
      <c r="S40" s="83"/>
      <c r="T40" s="16"/>
      <c r="U40" s="16"/>
      <c r="V40" s="16"/>
    </row>
    <row r="41" spans="1:22" s="8" customFormat="1" ht="15" customHeight="1" thickBot="1">
      <c r="A41" s="58">
        <f t="shared" si="2"/>
        <v>38</v>
      </c>
      <c r="B41" s="59" t="s">
        <v>7</v>
      </c>
      <c r="C41" s="17">
        <v>1</v>
      </c>
      <c r="D41" s="275" t="str">
        <f>IF($G$30=$I$30,CONCATENATE("Zmagovalec tekme #",$A$30),IF($G$30&gt;$I$30,$D$30,$F$30))</f>
        <v>Živa Šoštarič Cestnik / Izabela Rošer</v>
      </c>
      <c r="E41" s="275" t="s">
        <v>0</v>
      </c>
      <c r="F41" s="275" t="str">
        <f>IF($G$31=$I$31,CONCATENATE("Zmagovalec tekme #",$A$31),IF($G$31&gt;$I$31,$D$31,$F$31))</f>
        <v>Taja Šketa Rozman Cestnik / Iza Rozman</v>
      </c>
      <c r="G41" s="99">
        <v>1</v>
      </c>
      <c r="H41" s="61" t="s">
        <v>29</v>
      </c>
      <c r="I41" s="17">
        <v>2</v>
      </c>
      <c r="J41" s="62">
        <f t="shared" si="0"/>
        <v>0</v>
      </c>
      <c r="K41" s="89">
        <v>15</v>
      </c>
      <c r="L41" s="61" t="s">
        <v>29</v>
      </c>
      <c r="M41" s="88">
        <v>12</v>
      </c>
      <c r="N41" s="89">
        <v>14</v>
      </c>
      <c r="O41" s="61" t="s">
        <v>29</v>
      </c>
      <c r="P41" s="88">
        <v>16</v>
      </c>
      <c r="Q41" s="89">
        <v>8</v>
      </c>
      <c r="R41" s="61" t="s">
        <v>29</v>
      </c>
      <c r="S41" s="82">
        <v>15</v>
      </c>
      <c r="T41" s="14"/>
      <c r="U41" s="14"/>
      <c r="V41" s="14"/>
    </row>
    <row r="42" spans="1:22" s="8" customFormat="1" ht="15" customHeight="1">
      <c r="A42" s="63">
        <f t="shared" si="2"/>
        <v>39</v>
      </c>
      <c r="B42" s="64">
        <v>7</v>
      </c>
      <c r="C42" s="15">
        <v>2</v>
      </c>
      <c r="D42" s="279" t="str">
        <f>IF($G$36=$I$36,CONCATENATE("Zmagovalec tekme #",$A$36),IF($G$36&gt;$I$36,$D$36,$F$36))</f>
        <v>Sara Radunović Vital / Nina Debelak</v>
      </c>
      <c r="E42" s="279" t="s">
        <v>0</v>
      </c>
      <c r="F42" s="279" t="str">
        <f>IF($G$37=$I$37,CONCATENATE("Zmagovalec tekme #",$A$37),IF($G$37&gt;$I$37,$D$37,$F$37))</f>
        <v>Neja Železnik Calcit / Lana Špetič</v>
      </c>
      <c r="G42" s="100">
        <v>2</v>
      </c>
      <c r="H42" s="66" t="s">
        <v>29</v>
      </c>
      <c r="I42" s="15">
        <v>1</v>
      </c>
      <c r="J42" s="67">
        <f t="shared" si="0"/>
        <v>0</v>
      </c>
      <c r="K42" s="91">
        <v>12</v>
      </c>
      <c r="L42" s="66" t="s">
        <v>29</v>
      </c>
      <c r="M42" s="90">
        <v>15</v>
      </c>
      <c r="N42" s="91">
        <v>15</v>
      </c>
      <c r="O42" s="66" t="s">
        <v>29</v>
      </c>
      <c r="P42" s="90">
        <v>6</v>
      </c>
      <c r="Q42" s="91">
        <v>15</v>
      </c>
      <c r="R42" s="66" t="s">
        <v>29</v>
      </c>
      <c r="S42" s="83">
        <v>7</v>
      </c>
      <c r="T42" s="16"/>
      <c r="U42" s="16"/>
      <c r="V42" s="16"/>
    </row>
    <row r="43" spans="1:22" s="8" customFormat="1" ht="15" customHeight="1" thickBot="1">
      <c r="A43" s="58">
        <f t="shared" si="2"/>
        <v>40</v>
      </c>
      <c r="B43" s="59">
        <v>7</v>
      </c>
      <c r="C43" s="17">
        <v>1</v>
      </c>
      <c r="D43" s="275" t="str">
        <f>IF($G$38=$I$38,CONCATENATE("Zmagovalec tekme #",$A$38),IF($G$38&gt;$I$38,$D$38,$F$38))</f>
        <v>Neja Potočnik Lubnik / Lia Pipp</v>
      </c>
      <c r="E43" s="275" t="s">
        <v>0</v>
      </c>
      <c r="F43" s="275" t="str">
        <f>IF($G$39=$I$39,CONCATENATE("Zmagovalec tekme #",$A$39),IF($G$39&gt;$I$39,$D$39,$F$39))</f>
        <v>Dita Reflak Vital / Katarina Kim Kilar</v>
      </c>
      <c r="G43" s="99">
        <v>0</v>
      </c>
      <c r="H43" s="61" t="s">
        <v>29</v>
      </c>
      <c r="I43" s="17">
        <v>2</v>
      </c>
      <c r="J43" s="62">
        <f t="shared" si="0"/>
        <v>0</v>
      </c>
      <c r="K43" s="89">
        <v>9</v>
      </c>
      <c r="L43" s="61" t="s">
        <v>29</v>
      </c>
      <c r="M43" s="88">
        <v>15</v>
      </c>
      <c r="N43" s="89">
        <v>9</v>
      </c>
      <c r="O43" s="61" t="s">
        <v>29</v>
      </c>
      <c r="P43" s="88">
        <v>15</v>
      </c>
      <c r="Q43" s="89"/>
      <c r="R43" s="61" t="s">
        <v>29</v>
      </c>
      <c r="S43" s="82"/>
      <c r="T43" s="14"/>
      <c r="U43" s="14"/>
      <c r="V43" s="14"/>
    </row>
    <row r="44" spans="1:22" s="8" customFormat="1" ht="15" customHeight="1">
      <c r="A44" s="63">
        <f t="shared" si="2"/>
        <v>41</v>
      </c>
      <c r="B44" s="64">
        <v>5</v>
      </c>
      <c r="C44" s="15">
        <v>2</v>
      </c>
      <c r="D44" s="279" t="str">
        <f>IF($G$42=$I$42,CONCATENATE("Zmagovalec tekme #",$A$42),IF($G$42&gt;$I$42,$D$42,$F$42))</f>
        <v>Sara Radunović Vital / Nina Debelak</v>
      </c>
      <c r="E44" s="279" t="s">
        <v>0</v>
      </c>
      <c r="F44" s="279" t="str">
        <f>IF($G$41=$I$41,CONCATENATE("Poraženec tekme #",$A$41),IF($G$41&lt;$I$41,$D$41,$F$41))</f>
        <v>Živa Šoštarič Cestnik / Izabela Rošer</v>
      </c>
      <c r="G44" s="100">
        <v>0</v>
      </c>
      <c r="H44" s="66" t="s">
        <v>29</v>
      </c>
      <c r="I44" s="15">
        <v>2</v>
      </c>
      <c r="J44" s="67">
        <f t="shared" si="0"/>
        <v>0</v>
      </c>
      <c r="K44" s="91">
        <v>12</v>
      </c>
      <c r="L44" s="66" t="s">
        <v>29</v>
      </c>
      <c r="M44" s="90">
        <v>15</v>
      </c>
      <c r="N44" s="91">
        <v>7</v>
      </c>
      <c r="O44" s="66" t="s">
        <v>29</v>
      </c>
      <c r="P44" s="90">
        <v>15</v>
      </c>
      <c r="Q44" s="91"/>
      <c r="R44" s="66" t="s">
        <v>29</v>
      </c>
      <c r="S44" s="83"/>
      <c r="T44" s="16"/>
      <c r="U44" s="16"/>
      <c r="V44" s="16"/>
    </row>
    <row r="45" spans="1:22" s="8" customFormat="1" ht="15" customHeight="1" thickBot="1">
      <c r="A45" s="58">
        <f t="shared" si="2"/>
        <v>42</v>
      </c>
      <c r="B45" s="59">
        <v>5</v>
      </c>
      <c r="C45" s="17">
        <v>1</v>
      </c>
      <c r="D45" s="275" t="str">
        <f>IF($G$43=$I$43,CONCATENATE("Zmagovalec tekme #",$A$43),IF($G$43&gt;$I$43,$D$43,$F$43))</f>
        <v>Dita Reflak Vital / Katarina Kim Kilar</v>
      </c>
      <c r="E45" s="275" t="s">
        <v>0</v>
      </c>
      <c r="F45" s="275" t="str">
        <f>IF($G$40=$I$40,CONCATENATE("Poraženec tekme #",$A$40),IF($G$40&lt;$I$40,$D$40,$F$40))</f>
        <v>Ajda Hribar Calcit / Eva Albič</v>
      </c>
      <c r="G45" s="99">
        <v>2</v>
      </c>
      <c r="H45" s="61" t="s">
        <v>29</v>
      </c>
      <c r="I45" s="17">
        <v>0</v>
      </c>
      <c r="J45" s="62">
        <f t="shared" si="0"/>
        <v>0</v>
      </c>
      <c r="K45" s="89">
        <v>15</v>
      </c>
      <c r="L45" s="61" t="s">
        <v>29</v>
      </c>
      <c r="M45" s="88">
        <v>7</v>
      </c>
      <c r="N45" s="89">
        <v>15</v>
      </c>
      <c r="O45" s="61" t="s">
        <v>29</v>
      </c>
      <c r="P45" s="88">
        <v>11</v>
      </c>
      <c r="Q45" s="89"/>
      <c r="R45" s="61" t="s">
        <v>29</v>
      </c>
      <c r="S45" s="82"/>
      <c r="T45" s="14"/>
      <c r="U45" s="14"/>
      <c r="V45" s="14"/>
    </row>
    <row r="46" spans="1:22" s="8" customFormat="1" ht="15" customHeight="1">
      <c r="A46" s="63">
        <f t="shared" si="2"/>
        <v>43</v>
      </c>
      <c r="B46" s="64" t="s">
        <v>8</v>
      </c>
      <c r="C46" s="15"/>
      <c r="D46" s="65" t="str">
        <f>IF($G$40=$I$40,CONCATENATE("Zmagovalec tekme #",$A$40),IF($G$40&gt;$I$40,$D$40,$F$40))</f>
        <v>Ajda Kolar Vital / Luna Lavrič</v>
      </c>
      <c r="E46" s="65" t="s">
        <v>0</v>
      </c>
      <c r="F46" s="65" t="str">
        <f>IF($G$44=$I$44,CONCATENATE("Zmagovalec tekme #",$A$44),IF($G$44&gt;$I$44,$D$44,$F$44))</f>
        <v>Živa Šoštarič Cestnik / Izabela Rošer</v>
      </c>
      <c r="G46" s="100"/>
      <c r="H46" s="66" t="s">
        <v>29</v>
      </c>
      <c r="I46" s="15"/>
      <c r="J46" s="67">
        <f t="shared" si="0"/>
        <v>0</v>
      </c>
      <c r="K46" s="91"/>
      <c r="L46" s="66" t="s">
        <v>29</v>
      </c>
      <c r="M46" s="90"/>
      <c r="N46" s="91"/>
      <c r="O46" s="66" t="s">
        <v>29</v>
      </c>
      <c r="P46" s="90"/>
      <c r="Q46" s="91"/>
      <c r="R46" s="66" t="s">
        <v>29</v>
      </c>
      <c r="S46" s="83"/>
      <c r="T46" s="16"/>
      <c r="U46" s="16"/>
      <c r="V46" s="16"/>
    </row>
    <row r="47" spans="1:22" s="8" customFormat="1" ht="15" customHeight="1" thickBot="1">
      <c r="A47" s="58">
        <f t="shared" si="2"/>
        <v>44</v>
      </c>
      <c r="B47" s="59" t="s">
        <v>8</v>
      </c>
      <c r="C47" s="17"/>
      <c r="D47" s="60" t="str">
        <f>IF($G$41=$I$41,CONCATENATE("Zmagovalec tekme #",$A$41),IF($G$41&gt;$I$41,$D$41,$F$41))</f>
        <v>Taja Šketa Rozman Cestnik / Iza Rozman</v>
      </c>
      <c r="E47" s="60" t="s">
        <v>0</v>
      </c>
      <c r="F47" s="60" t="str">
        <f>IF($G$45=$I$45,CONCATENATE("Zmagovalec tekme #",$A$45),IF($G$45&gt;$I$45,$D$45,$F$45))</f>
        <v>Dita Reflak Vital / Katarina Kim Kilar</v>
      </c>
      <c r="G47" s="99"/>
      <c r="H47" s="61" t="s">
        <v>29</v>
      </c>
      <c r="I47" s="17"/>
      <c r="J47" s="62">
        <f t="shared" si="0"/>
        <v>0</v>
      </c>
      <c r="K47" s="89"/>
      <c r="L47" s="61" t="s">
        <v>29</v>
      </c>
      <c r="M47" s="88"/>
      <c r="N47" s="89"/>
      <c r="O47" s="61" t="s">
        <v>29</v>
      </c>
      <c r="P47" s="88"/>
      <c r="Q47" s="89"/>
      <c r="R47" s="61" t="s">
        <v>29</v>
      </c>
      <c r="S47" s="82"/>
      <c r="T47" s="14"/>
      <c r="U47" s="14"/>
      <c r="V47" s="14"/>
    </row>
    <row r="48" spans="1:22" s="8" customFormat="1" ht="15" customHeight="1" thickBot="1">
      <c r="A48" s="68">
        <f t="shared" si="2"/>
        <v>45</v>
      </c>
      <c r="B48" s="69" t="s">
        <v>9</v>
      </c>
      <c r="C48" s="96"/>
      <c r="D48" s="70" t="str">
        <f>IF($G$46=$I$46,CONCATENATE("Poraženec tekme #",$A$46),IF($G$46&lt;$I$46,$D$46,$F$46))</f>
        <v>Poraženec tekme #43</v>
      </c>
      <c r="E48" s="70" t="s">
        <v>0</v>
      </c>
      <c r="F48" s="70" t="str">
        <f>IF($G$47=$I$47,CONCATENATE("Poraženec tekme #",$A$47),IF($G$47&lt;$I$47,$D$47,$F$47))</f>
        <v>Poraženec tekme #44</v>
      </c>
      <c r="G48" s="101"/>
      <c r="H48" s="71" t="s">
        <v>29</v>
      </c>
      <c r="I48" s="96"/>
      <c r="J48" s="72">
        <f t="shared" si="0"/>
        <v>0</v>
      </c>
      <c r="K48" s="93"/>
      <c r="L48" s="71" t="s">
        <v>29</v>
      </c>
      <c r="M48" s="92"/>
      <c r="N48" s="93"/>
      <c r="O48" s="71" t="s">
        <v>29</v>
      </c>
      <c r="P48" s="92"/>
      <c r="Q48" s="93"/>
      <c r="R48" s="71" t="s">
        <v>29</v>
      </c>
      <c r="S48" s="84"/>
      <c r="T48" s="79"/>
      <c r="U48" s="79"/>
      <c r="V48" s="79"/>
    </row>
    <row r="49" spans="1:22" s="8" customFormat="1" ht="15" customHeight="1" thickBot="1" thickTop="1">
      <c r="A49" s="73">
        <v>46</v>
      </c>
      <c r="B49" s="74" t="s">
        <v>10</v>
      </c>
      <c r="C49" s="97"/>
      <c r="D49" s="75" t="str">
        <f>IF($G$46=$I$46,CONCATENATE("Zmagovalec tekme #",$A$46),IF($G$46&gt;$I$46,$D$46,$F$46))</f>
        <v>Zmagovalec tekme #43</v>
      </c>
      <c r="E49" s="75" t="s">
        <v>0</v>
      </c>
      <c r="F49" s="75" t="str">
        <f>IF($G$47=$I$47,CONCATENATE("Zmagovalec tekme #",$A$47),IF($G$47&gt;$I$47,$D$47,$F$47))</f>
        <v>Zmagovalec tekme #44</v>
      </c>
      <c r="G49" s="102"/>
      <c r="H49" s="76" t="s">
        <v>29</v>
      </c>
      <c r="I49" s="97"/>
      <c r="J49" s="77">
        <f t="shared" si="0"/>
        <v>0</v>
      </c>
      <c r="K49" s="95"/>
      <c r="L49" s="76" t="s">
        <v>29</v>
      </c>
      <c r="M49" s="94"/>
      <c r="N49" s="95"/>
      <c r="O49" s="76" t="s">
        <v>29</v>
      </c>
      <c r="P49" s="94"/>
      <c r="Q49" s="95"/>
      <c r="R49" s="76" t="s">
        <v>29</v>
      </c>
      <c r="S49" s="85"/>
      <c r="T49" s="80"/>
      <c r="U49" s="80"/>
      <c r="V49" s="80"/>
    </row>
    <row r="50" ht="15.75" thickTop="1"/>
  </sheetData>
  <sheetProtection/>
  <mergeCells count="2">
    <mergeCell ref="A1:F1"/>
    <mergeCell ref="G1:J1"/>
  </mergeCells>
  <printOptions horizontalCentered="1"/>
  <pageMargins left="0.35433070866141736" right="0.31496062992125984" top="0.43" bottom="0.3937007874015748" header="0.31496062992125984" footer="0.3937007874015748"/>
  <pageSetup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E2" sqref="E2:H3"/>
    </sheetView>
  </sheetViews>
  <sheetFormatPr defaultColWidth="9.140625" defaultRowHeight="12.75"/>
  <cols>
    <col min="1" max="1" width="11.7109375" style="7" customWidth="1"/>
    <col min="2" max="5" width="11.7109375" style="5" customWidth="1"/>
    <col min="6" max="6" width="8.57421875" style="5" customWidth="1"/>
    <col min="7" max="11" width="11.7109375" style="5" customWidth="1"/>
    <col min="12" max="12" width="11.7109375" style="6" customWidth="1"/>
    <col min="13" max="16384" width="9.140625" style="5" customWidth="1"/>
  </cols>
  <sheetData>
    <row r="1" spans="1:12" ht="9" customHeight="1">
      <c r="A1" s="19"/>
      <c r="B1" s="103" t="str">
        <f>CONCATENATE(Rezultati!$D$12," ")</f>
        <v>Julija Četina / Iza Koren </v>
      </c>
      <c r="C1" s="104"/>
      <c r="D1" s="104"/>
      <c r="E1" s="104"/>
      <c r="F1" s="105"/>
      <c r="G1" s="105"/>
      <c r="H1" s="105"/>
      <c r="I1" s="105"/>
      <c r="J1" s="105"/>
      <c r="K1" s="105"/>
      <c r="L1" s="106"/>
    </row>
    <row r="2" spans="1:12" ht="9" customHeight="1">
      <c r="A2" s="19"/>
      <c r="B2" s="107"/>
      <c r="C2" s="104"/>
      <c r="D2" s="104"/>
      <c r="E2" s="232" t="str">
        <f>'Seznam ekip'!C1</f>
        <v>Državno prvenstvo U-16 dekleta Žužemberk - kval</v>
      </c>
      <c r="F2" s="232"/>
      <c r="G2" s="232"/>
      <c r="H2" s="232"/>
      <c r="I2" s="105"/>
      <c r="J2" s="105"/>
      <c r="K2" s="105"/>
      <c r="L2" s="108" t="str">
        <f>CONCATENATE(Rezultati!$D$27," ")</f>
        <v>Sara Radunović Vital / Nina Debelak </v>
      </c>
    </row>
    <row r="3" spans="1:12" ht="9" customHeight="1">
      <c r="A3" s="103" t="str">
        <f>CONCATENATE(Rezultati!$F$4," ")</f>
        <v>Lara Goršič Lubnik / Nina Šifrar </v>
      </c>
      <c r="B3" s="109" t="str">
        <f>CONCATENATE("",Rezultati!$A$12,"")</f>
        <v>9</v>
      </c>
      <c r="C3" s="110" t="str">
        <f>CONCATENATE(Rezultati!$D$28," ")</f>
        <v>Lara Goršič Lubnik / Nina Šifrar </v>
      </c>
      <c r="D3" s="104"/>
      <c r="E3" s="232"/>
      <c r="F3" s="232"/>
      <c r="G3" s="232"/>
      <c r="H3" s="232"/>
      <c r="I3" s="105"/>
      <c r="J3" s="105"/>
      <c r="K3" s="105"/>
      <c r="L3" s="111"/>
    </row>
    <row r="4" spans="1:12" ht="9" customHeight="1">
      <c r="A4" s="184" t="str">
        <f>CONCATENATE("(",Rezultati!$I$4," : ",Rezultati!$G$4,")")</f>
        <v>(2 : 0)</v>
      </c>
      <c r="B4" s="185" t="str">
        <f>CONCATENATE("(",Rezultati!$G$12," : ",Rezultati!$I$12,")")</f>
        <v>(0 : 2)</v>
      </c>
      <c r="C4" s="107"/>
      <c r="D4" s="104"/>
      <c r="E4" s="104"/>
      <c r="F4" s="233" t="str">
        <f>'Seznam ekip'!C3</f>
        <v>01.07.2023</v>
      </c>
      <c r="G4" s="234"/>
      <c r="H4" s="105"/>
      <c r="I4" s="105"/>
      <c r="J4" s="105"/>
      <c r="K4" s="112" t="str">
        <f>CONCATENATE(Rezultati!$D$32," ")</f>
        <v>Sara Radunović Vital / Nina Debelak </v>
      </c>
      <c r="L4" s="113" t="str">
        <f>CONCATENATE("",Rezultati!$A$27,"")</f>
        <v>24</v>
      </c>
    </row>
    <row r="5" spans="1:12" ht="9" customHeight="1">
      <c r="A5" s="109" t="str">
        <f>CONCATENATE("",Rezultati!$A$4,"")</f>
        <v>1</v>
      </c>
      <c r="B5" s="114" t="str">
        <f>CONCATENATE(Rezultati!$F$12," ")</f>
        <v>Lara Goršič Lubnik / Nina Šifrar </v>
      </c>
      <c r="C5" s="115"/>
      <c r="D5" s="104"/>
      <c r="E5" s="104"/>
      <c r="F5" s="105"/>
      <c r="G5" s="105"/>
      <c r="H5" s="105"/>
      <c r="I5" s="105"/>
      <c r="J5" s="105"/>
      <c r="K5" s="116"/>
      <c r="L5" s="143" t="str">
        <f>CONCATENATE("(",Rezultati!$G$27," : ",Rezultati!$I$27,")")</f>
        <v>(2 : 0)</v>
      </c>
    </row>
    <row r="6" spans="1:12" ht="9" customHeight="1">
      <c r="A6" s="114" t="str">
        <f>CONCATENATE(Rezultati!$D$4," ")</f>
        <v>Lea Ivančič / Ota Strojnik </v>
      </c>
      <c r="B6" s="117"/>
      <c r="C6" s="115"/>
      <c r="D6" s="104"/>
      <c r="E6" s="104"/>
      <c r="F6" s="105"/>
      <c r="G6" s="105"/>
      <c r="H6" s="105"/>
      <c r="I6" s="105"/>
      <c r="J6" s="105"/>
      <c r="K6" s="118"/>
      <c r="L6" s="119" t="str">
        <f>CONCATENATE(Rezultati!$F$27," ")</f>
        <v>Lea Ivančič / Ota Strojnik </v>
      </c>
    </row>
    <row r="7" spans="1:12" ht="9" customHeight="1">
      <c r="A7" s="108"/>
      <c r="B7" s="120"/>
      <c r="C7" s="109" t="str">
        <f>CONCATENATE("",Rezultati!$A$28,"")</f>
        <v>25</v>
      </c>
      <c r="D7" s="110" t="str">
        <f>CONCATENATE(Rezultati!$D$40," ")</f>
        <v>Ajda Kolar Vital / Luna Lavrič </v>
      </c>
      <c r="E7" s="104"/>
      <c r="F7" s="105"/>
      <c r="G7" s="105"/>
      <c r="H7" s="105"/>
      <c r="I7" s="105"/>
      <c r="J7" s="105"/>
      <c r="K7" s="118"/>
      <c r="L7" s="117"/>
    </row>
    <row r="8" spans="1:12" ht="9" customHeight="1">
      <c r="A8" s="103" t="str">
        <f>CONCATENATE(Rezultati!$D$5," ")</f>
        <v>Ajda Kolar Vital / Luna Lavrič </v>
      </c>
      <c r="B8" s="120"/>
      <c r="C8" s="115"/>
      <c r="D8" s="107"/>
      <c r="E8" s="104"/>
      <c r="F8" s="105"/>
      <c r="G8" s="105"/>
      <c r="H8" s="105"/>
      <c r="I8" s="105"/>
      <c r="J8" s="112" t="str">
        <f>CONCATENATE(Rezultati!$D$36," ")</f>
        <v>Sara Radunović Vital / Nina Debelak </v>
      </c>
      <c r="K8" s="113" t="str">
        <f>CONCATENATE("",Rezultati!$A$32,"")</f>
        <v>29</v>
      </c>
      <c r="L8" s="106"/>
    </row>
    <row r="9" spans="1:12" ht="9" customHeight="1">
      <c r="A9" s="184" t="str">
        <f>CONCATENATE("(",Rezultati!$G$5," : ",Rezultati!$I$5,")")</f>
        <v>(2 : 0)</v>
      </c>
      <c r="B9" s="121" t="str">
        <f>CONCATENATE(Rezultati!$D$13," ")</f>
        <v>Ajda Kolar Vital / Luna Lavrič </v>
      </c>
      <c r="C9" s="185" t="str">
        <f>CONCATENATE("(",Rezultati!$G$28," : ",Rezultati!$I$28,")")</f>
        <v>(0 : 2)</v>
      </c>
      <c r="D9" s="115"/>
      <c r="E9" s="104"/>
      <c r="F9" s="105"/>
      <c r="G9" s="105"/>
      <c r="H9" s="105"/>
      <c r="I9" s="105"/>
      <c r="J9" s="116"/>
      <c r="K9" s="118"/>
      <c r="L9" s="106"/>
    </row>
    <row r="10" spans="1:12" ht="9" customHeight="1">
      <c r="A10" s="109" t="str">
        <f>CONCATENATE("",Rezultati!$A$5,"")</f>
        <v>2</v>
      </c>
      <c r="B10" s="107"/>
      <c r="C10" s="115"/>
      <c r="D10" s="115"/>
      <c r="E10" s="104"/>
      <c r="F10" s="105"/>
      <c r="G10" s="105"/>
      <c r="H10" s="122" t="str">
        <f>CONCATENATE(Rezultati!$F$44," ")</f>
        <v>Živa Šoštarič Cestnik / Izabela Rošer </v>
      </c>
      <c r="I10" s="105"/>
      <c r="J10" s="118"/>
      <c r="K10" s="143" t="str">
        <f>CONCATENATE("(",Rezultati!$G$32," : ",Rezultati!$I$32,")")</f>
        <v>(2 : 0)</v>
      </c>
      <c r="L10" s="108" t="str">
        <f>CONCATENATE(Rezultati!$D$26," ")</f>
        <v>Ekipa št.24 </v>
      </c>
    </row>
    <row r="11" spans="1:12" ht="9" customHeight="1">
      <c r="A11" s="114" t="str">
        <f>CONCATENATE(Rezultati!$F$5," ")</f>
        <v>Ekipa št.24 </v>
      </c>
      <c r="B11" s="109" t="str">
        <f>CONCATENATE("",Rezultati!$A$13,"")</f>
        <v>10</v>
      </c>
      <c r="C11" s="123" t="str">
        <f>CONCATENATE(Rezultati!$F$28," ")</f>
        <v>Ajda Kolar Vital / Luna Lavrič </v>
      </c>
      <c r="D11" s="115"/>
      <c r="E11" s="104"/>
      <c r="F11" s="105"/>
      <c r="G11" s="105"/>
      <c r="H11" s="111"/>
      <c r="I11" s="105"/>
      <c r="J11" s="124"/>
      <c r="K11" s="118"/>
      <c r="L11" s="111"/>
    </row>
    <row r="12" spans="1:12" ht="9" customHeight="1">
      <c r="A12" s="108"/>
      <c r="B12" s="185" t="str">
        <f>CONCATENATE("(",Rezultati!$G$13," : ",Rezultati!$I$13,")")</f>
        <v>(2 : 0)</v>
      </c>
      <c r="C12" s="117"/>
      <c r="D12" s="115"/>
      <c r="E12" s="104"/>
      <c r="F12" s="125" t="s">
        <v>31</v>
      </c>
      <c r="G12" s="105"/>
      <c r="H12" s="118"/>
      <c r="I12" s="112" t="str">
        <f>CONCATENATE(Rezultati!$D$42," ")</f>
        <v>Sara Radunović Vital / Nina Debelak </v>
      </c>
      <c r="J12" s="113" t="str">
        <f>CONCATENATE("",Rezultati!$A$36,"")</f>
        <v>33</v>
      </c>
      <c r="K12" s="126" t="str">
        <f>CONCATENATE(Rezultati!$F$32," ")</f>
        <v>Maša Menard ok Logatec / Zoja Petelin </v>
      </c>
      <c r="L12" s="113" t="str">
        <f>CONCATENATE("",Rezultati!$A$26,"")</f>
        <v>23</v>
      </c>
    </row>
    <row r="13" spans="1:12" ht="9" customHeight="1">
      <c r="A13" s="19"/>
      <c r="B13" s="114" t="str">
        <f>CONCATENATE(Rezultati!$F$13," ")</f>
        <v>Lea Žnidaršič Ok Logatec / Tinkara Nagode </v>
      </c>
      <c r="C13" s="104"/>
      <c r="D13" s="115"/>
      <c r="E13" s="104"/>
      <c r="F13" s="127"/>
      <c r="G13" s="105"/>
      <c r="H13" s="118"/>
      <c r="I13" s="116"/>
      <c r="J13" s="118"/>
      <c r="K13" s="107"/>
      <c r="L13" s="143" t="str">
        <f>CONCATENATE("(",Rezultati!$G$26," : ",Rezultati!$I$26,")")</f>
        <v>(0 : 2)</v>
      </c>
    </row>
    <row r="14" spans="1:12" ht="9" customHeight="1">
      <c r="A14" s="19"/>
      <c r="B14" s="117"/>
      <c r="C14" s="104"/>
      <c r="D14" s="128"/>
      <c r="E14" s="104"/>
      <c r="F14" s="105"/>
      <c r="G14" s="105"/>
      <c r="H14" s="129"/>
      <c r="I14" s="118"/>
      <c r="J14" s="143" t="str">
        <f>CONCATENATE("(",Rezultati!$G$36," : ",Rezultati!$I$36,")")</f>
        <v>(2 : 0)</v>
      </c>
      <c r="K14" s="105"/>
      <c r="L14" s="119" t="str">
        <f>CONCATENATE(Rezultati!$F$26," ")</f>
        <v>Maša Menard ok Logatec / Zoja Petelin </v>
      </c>
    </row>
    <row r="15" spans="1:12" ht="9" customHeight="1">
      <c r="A15" s="19"/>
      <c r="B15" s="120"/>
      <c r="C15" s="104"/>
      <c r="D15" s="109" t="str">
        <f>CONCATENATE("",Rezultati!$A$40,"")</f>
        <v>37</v>
      </c>
      <c r="E15" s="130" t="str">
        <f>CONCATENATE(Rezultati!$D$46," ")</f>
        <v>Ajda Kolar Vital / Luna Lavrič </v>
      </c>
      <c r="F15" s="131" t="str">
        <f>CONCATENATE("",Rezultati!$A$46,"")</f>
        <v>43</v>
      </c>
      <c r="G15" s="114" t="str">
        <f>CONCATENATE(Rezultati!$F$46," ")</f>
        <v>Živa Šoštarič Cestnik / Izabela Rošer </v>
      </c>
      <c r="H15" s="113" t="str">
        <f>CONCATENATE("",Rezultati!$A$44,"")</f>
        <v>41</v>
      </c>
      <c r="I15" s="118"/>
      <c r="J15" s="118"/>
      <c r="K15" s="105"/>
      <c r="L15" s="117"/>
    </row>
    <row r="16" spans="1:12" ht="9" customHeight="1">
      <c r="A16" s="19"/>
      <c r="B16" s="120"/>
      <c r="C16" s="104"/>
      <c r="D16" s="115"/>
      <c r="E16" s="117"/>
      <c r="F16" s="132" t="str">
        <f>CONCATENATE("(",Rezultati!$G$46," : ",Rezultati!$I$46,")")</f>
        <v>( : )</v>
      </c>
      <c r="G16" s="107"/>
      <c r="H16" s="118"/>
      <c r="I16" s="118"/>
      <c r="J16" s="119" t="str">
        <f>CONCATENATE(Rezultati!$F$36," ")</f>
        <v>Katerina Đokić Calcit / Lea Vidmar </v>
      </c>
      <c r="K16" s="105"/>
      <c r="L16" s="106"/>
    </row>
    <row r="17" spans="1:12" ht="9" customHeight="1">
      <c r="A17" s="19"/>
      <c r="B17" s="103" t="str">
        <f>CONCATENATE(Rezultati!$D$14," ")</f>
        <v>Živa Bastjančič  vc Portorož / Valentina Dilica Valentinčič </v>
      </c>
      <c r="C17" s="104"/>
      <c r="D17" s="185" t="str">
        <f>CONCATENATE("(",Rezultati!$G$40," : ",Rezultati!$I$40,")")</f>
        <v>(2 : 0)</v>
      </c>
      <c r="E17" s="104"/>
      <c r="F17" s="19"/>
      <c r="G17" s="105"/>
      <c r="H17" s="143" t="str">
        <f>CONCATENATE("(",Rezultati!$I$44," : ",Rezultati!$G$44,")")</f>
        <v>(2 : 0)</v>
      </c>
      <c r="I17" s="118"/>
      <c r="J17" s="117"/>
      <c r="K17" s="105"/>
      <c r="L17" s="106"/>
    </row>
    <row r="18" spans="1:12" ht="9" customHeight="1">
      <c r="A18" s="19"/>
      <c r="B18" s="107"/>
      <c r="C18" s="104"/>
      <c r="D18" s="115"/>
      <c r="E18" s="104"/>
      <c r="F18" s="105"/>
      <c r="G18" s="105"/>
      <c r="H18" s="118"/>
      <c r="I18" s="118"/>
      <c r="J18" s="105"/>
      <c r="K18" s="105"/>
      <c r="L18" s="108" t="str">
        <f>CONCATENATE(Rezultati!$D$25," ")</f>
        <v>Neja Železnik Calcit / Lana Špetič </v>
      </c>
    </row>
    <row r="19" spans="1:12" ht="9" customHeight="1">
      <c r="A19" s="103" t="str">
        <f>CONCATENATE(Rezultati!$F$6," ")</f>
        <v>Maruša Hočevar Žužemberk / Maja Dovč </v>
      </c>
      <c r="B19" s="109" t="str">
        <f>CONCATENATE("",Rezultati!$A$14,"")</f>
        <v>11</v>
      </c>
      <c r="C19" s="110" t="str">
        <f>CONCATENATE(Rezultati!$D$29," ")</f>
        <v>Katerina Đokić Calcit / Lea Vidmar </v>
      </c>
      <c r="D19" s="115"/>
      <c r="E19" s="104"/>
      <c r="F19" s="105"/>
      <c r="G19" s="105"/>
      <c r="H19" s="118"/>
      <c r="I19" s="118"/>
      <c r="J19" s="105"/>
      <c r="K19" s="105"/>
      <c r="L19" s="111"/>
    </row>
    <row r="20" spans="1:12" ht="9" customHeight="1">
      <c r="A20" s="184" t="str">
        <f>CONCATENATE("(",Rezultati!$I$6," : ",Rezultati!$G$6,")")</f>
        <v>(0 : 2)</v>
      </c>
      <c r="B20" s="185" t="str">
        <f>CONCATENATE("(",Rezultati!$G$14," : ",Rezultati!$I$14,")")</f>
        <v>(1 : 2)</v>
      </c>
      <c r="C20" s="107"/>
      <c r="D20" s="115"/>
      <c r="E20" s="104"/>
      <c r="F20" s="105"/>
      <c r="G20" s="105"/>
      <c r="H20" s="126" t="str">
        <f>CONCATENATE(Rezultati!$D$44," ")</f>
        <v>Sara Radunović Vital / Nina Debelak </v>
      </c>
      <c r="I20" s="113" t="str">
        <f>CONCATENATE("",Rezultati!$A$42,"")</f>
        <v>39</v>
      </c>
      <c r="J20" s="105"/>
      <c r="K20" s="112" t="str">
        <f>CONCATENATE(Rezultati!$D$33," ")</f>
        <v>Neja Železnik Calcit / Lana Špetič </v>
      </c>
      <c r="L20" s="113" t="str">
        <f>CONCATENATE("",Rezultati!$A$25,"")</f>
        <v>22</v>
      </c>
    </row>
    <row r="21" spans="1:12" ht="9" customHeight="1">
      <c r="A21" s="109" t="str">
        <f>CONCATENATE("",Rezultati!$A$6,"")</f>
        <v>3</v>
      </c>
      <c r="B21" s="114" t="str">
        <f>CONCATENATE(Rezultati!$F$14," ")</f>
        <v>Katerina Đokić Calcit / Lea Vidmar </v>
      </c>
      <c r="C21" s="115"/>
      <c r="D21" s="115"/>
      <c r="E21" s="104"/>
      <c r="F21" s="105"/>
      <c r="G21" s="105"/>
      <c r="H21" s="107"/>
      <c r="I21" s="118"/>
      <c r="J21" s="105"/>
      <c r="K21" s="116"/>
      <c r="L21" s="143" t="str">
        <f>CONCATENATE("(",Rezultati!$G$25," : ",Rezultati!$I$25,")")</f>
        <v>(2 : 1)</v>
      </c>
    </row>
    <row r="22" spans="1:12" ht="9" customHeight="1">
      <c r="A22" s="114" t="str">
        <f>CONCATENATE(Rezultati!$D$6," ")</f>
        <v>Katerina Đokić Calcit / Lea Vidmar </v>
      </c>
      <c r="B22" s="117"/>
      <c r="C22" s="115"/>
      <c r="D22" s="115"/>
      <c r="E22" s="104"/>
      <c r="F22" s="105"/>
      <c r="G22" s="105"/>
      <c r="H22" s="105"/>
      <c r="I22" s="143" t="str">
        <f>CONCATENATE("(",Rezultati!$G$42," : ",Rezultati!$I$42,")")</f>
        <v>(2 : 1)</v>
      </c>
      <c r="J22" s="105"/>
      <c r="K22" s="118"/>
      <c r="L22" s="119" t="str">
        <f>CONCATENATE(Rezultati!$F$25," ")</f>
        <v>Maruša Hočevar Žužemberk / Maja Dovč </v>
      </c>
    </row>
    <row r="23" spans="1:12" ht="9" customHeight="1">
      <c r="A23" s="108"/>
      <c r="B23" s="120"/>
      <c r="C23" s="109" t="str">
        <f>CONCATENATE("",Rezultati!$A$29,"")</f>
        <v>26</v>
      </c>
      <c r="D23" s="123" t="str">
        <f>CONCATENATE(Rezultati!$F$40," ")</f>
        <v>Ajda Hribar Calcit / Eva Albič </v>
      </c>
      <c r="E23" s="104"/>
      <c r="F23" s="105"/>
      <c r="G23" s="105"/>
      <c r="H23" s="105"/>
      <c r="I23" s="118"/>
      <c r="J23" s="105"/>
      <c r="K23" s="118"/>
      <c r="L23" s="117"/>
    </row>
    <row r="24" spans="1:12" ht="9" customHeight="1">
      <c r="A24" s="103" t="str">
        <f>CONCATENATE(Rezultati!$D$7," ")</f>
        <v>Ajda Hribar Calcit / Eva Albič </v>
      </c>
      <c r="B24" s="120"/>
      <c r="C24" s="115"/>
      <c r="D24" s="117"/>
      <c r="E24" s="104"/>
      <c r="F24" s="105"/>
      <c r="G24" s="105"/>
      <c r="H24" s="105"/>
      <c r="I24" s="118"/>
      <c r="J24" s="112" t="str">
        <f>CONCATENATE(Rezultati!$D$37," ")</f>
        <v>Neja Železnik Calcit / Lana Špetič </v>
      </c>
      <c r="K24" s="113" t="str">
        <f>CONCATENATE("",Rezultati!$A$33,"")</f>
        <v>30</v>
      </c>
      <c r="L24" s="106"/>
    </row>
    <row r="25" spans="1:12" ht="9" customHeight="1">
      <c r="A25" s="184" t="str">
        <f>CONCATENATE("(",Rezultati!$G$7," : ",Rezultati!$I$7,")")</f>
        <v>(2 : 0)</v>
      </c>
      <c r="B25" s="121" t="str">
        <f>CONCATENATE(Rezultati!$D$15," ")</f>
        <v>Ajda Hribar Calcit / Eva Albič </v>
      </c>
      <c r="C25" s="185" t="str">
        <f>CONCATENATE("(",Rezultati!$G$29," : ",Rezultati!$I$29,")")</f>
        <v>(1 : 2)</v>
      </c>
      <c r="D25" s="104"/>
      <c r="E25" s="104"/>
      <c r="F25" s="105"/>
      <c r="G25" s="105"/>
      <c r="H25" s="105"/>
      <c r="I25" s="118"/>
      <c r="J25" s="116"/>
      <c r="K25" s="118"/>
      <c r="L25" s="106"/>
    </row>
    <row r="26" spans="1:12" ht="9" customHeight="1">
      <c r="A26" s="109" t="str">
        <f>CONCATENATE("",Rezultati!$A$7,"")</f>
        <v>4</v>
      </c>
      <c r="B26" s="107"/>
      <c r="C26" s="115"/>
      <c r="D26" s="104"/>
      <c r="E26" s="19"/>
      <c r="F26" s="19"/>
      <c r="G26" s="19"/>
      <c r="H26" s="105"/>
      <c r="I26" s="118"/>
      <c r="J26" s="118"/>
      <c r="K26" s="143" t="str">
        <f>CONCATENATE("(",Rezultati!$G$33," : ",Rezultati!$I$33,")")</f>
        <v>(2 : 0)</v>
      </c>
      <c r="L26" s="108" t="str">
        <f>CONCATENATE(Rezultati!$D$24," ")</f>
        <v>Pia Primožič Logatec / Nina Simončič </v>
      </c>
    </row>
    <row r="27" spans="1:12" ht="9" customHeight="1">
      <c r="A27" s="114" t="str">
        <f>CONCATENATE(Rezultati!$F$7," ")</f>
        <v>Pia Primožič Logatec / Nina Simončič </v>
      </c>
      <c r="B27" s="109" t="str">
        <f>CONCATENATE("",Rezultati!$A$15,"")</f>
        <v>12</v>
      </c>
      <c r="C27" s="123" t="str">
        <f>CONCATENATE(Rezultati!$F$29," ")</f>
        <v>Ajda Hribar Calcit / Eva Albič </v>
      </c>
      <c r="D27" s="104"/>
      <c r="E27" s="133" t="str">
        <f>CONCATENATE(Rezultati!$D$49," ")</f>
        <v>Zmagovalec tekme #43 </v>
      </c>
      <c r="F27" s="134"/>
      <c r="G27" s="133" t="str">
        <f>CONCATENATE(Rezultati!$D$48," ")</f>
        <v>Poraženec tekme #43 </v>
      </c>
      <c r="H27" s="105"/>
      <c r="I27" s="118"/>
      <c r="J27" s="129"/>
      <c r="K27" s="118"/>
      <c r="L27" s="111"/>
    </row>
    <row r="28" spans="1:12" ht="9" customHeight="1">
      <c r="A28" s="108"/>
      <c r="B28" s="185" t="str">
        <f>CONCATENATE("(",Rezultati!$G$15," : ",Rezultati!$I$15,")")</f>
        <v>(2 : 1)</v>
      </c>
      <c r="C28" s="117"/>
      <c r="D28" s="104"/>
      <c r="E28" s="135"/>
      <c r="F28" s="106"/>
      <c r="G28" s="136"/>
      <c r="H28" s="105"/>
      <c r="I28" s="126" t="str">
        <f>CONCATENATE(Rezultati!$F$42," ")</f>
        <v>Neja Železnik Calcit / Lana Špetič </v>
      </c>
      <c r="J28" s="113" t="str">
        <f>CONCATENATE("",Rezultati!$A$37,"")</f>
        <v>34</v>
      </c>
      <c r="K28" s="126" t="str">
        <f>CONCATENATE(Rezultati!$F$33," ")</f>
        <v>Zara Nahtigal Lavrič Žužemberk / Ana Štravs </v>
      </c>
      <c r="L28" s="113" t="str">
        <f>CONCATENATE("",Rezultati!$A$24,"")</f>
        <v>21</v>
      </c>
    </row>
    <row r="29" spans="1:12" ht="9" customHeight="1">
      <c r="A29" s="19"/>
      <c r="B29" s="114" t="str">
        <f>CONCATENATE(Rezultati!$F$15," ")</f>
        <v>Katjuša Plot Žužemberk / Neža Novak </v>
      </c>
      <c r="C29" s="104"/>
      <c r="D29" s="104"/>
      <c r="E29" s="137" t="s">
        <v>66</v>
      </c>
      <c r="F29" s="138"/>
      <c r="G29" s="139" t="s">
        <v>60</v>
      </c>
      <c r="H29" s="105"/>
      <c r="I29" s="107"/>
      <c r="J29" s="118"/>
      <c r="K29" s="107"/>
      <c r="L29" s="143" t="str">
        <f>CONCATENATE("(",Rezultati!$G$24," : ",Rezultati!$I$24,")")</f>
        <v>(1 : 2)</v>
      </c>
    </row>
    <row r="30" spans="1:12" ht="9" customHeight="1">
      <c r="A30" s="19"/>
      <c r="B30" s="117"/>
      <c r="C30" s="104"/>
      <c r="D30" s="104"/>
      <c r="E30" s="140"/>
      <c r="F30" s="106"/>
      <c r="G30" s="141"/>
      <c r="H30" s="105"/>
      <c r="I30" s="105"/>
      <c r="J30" s="143" t="str">
        <f>CONCATENATE("(",Rezultati!$G$37," : ",Rezultati!$I$37,")")</f>
        <v>(2 : 0)</v>
      </c>
      <c r="K30" s="105"/>
      <c r="L30" s="119" t="str">
        <f>CONCATENATE(Rezultati!$F$24," ")</f>
        <v>Zara Nahtigal Lavrič Žužemberk / Ana Štravs </v>
      </c>
    </row>
    <row r="31" spans="1:12" ht="9" customHeight="1">
      <c r="A31" s="19"/>
      <c r="B31" s="120"/>
      <c r="C31" s="104"/>
      <c r="D31" s="142"/>
      <c r="E31" s="113" t="str">
        <f>CONCATENATE("",Rezultati!$A$49,"")</f>
        <v>46</v>
      </c>
      <c r="F31" s="105"/>
      <c r="G31" s="109" t="str">
        <f>CONCATENATE("",Rezultati!$A$48,"")</f>
        <v>45</v>
      </c>
      <c r="H31" s="142"/>
      <c r="I31" s="105"/>
      <c r="J31" s="118"/>
      <c r="K31" s="105"/>
      <c r="L31" s="117"/>
    </row>
    <row r="32" spans="1:12" ht="9" customHeight="1">
      <c r="A32" s="19"/>
      <c r="B32" s="120"/>
      <c r="C32" s="104"/>
      <c r="D32" s="142"/>
      <c r="E32" s="143"/>
      <c r="F32" s="105"/>
      <c r="G32" s="141"/>
      <c r="H32" s="142"/>
      <c r="I32" s="105"/>
      <c r="J32" s="119" t="str">
        <f>CONCATENATE(Rezultati!$F$37," ")</f>
        <v>Lara Goršič Lubnik / Nina Šifrar </v>
      </c>
      <c r="K32" s="105"/>
      <c r="L32" s="106"/>
    </row>
    <row r="33" spans="1:12" ht="9" customHeight="1">
      <c r="A33" s="19"/>
      <c r="B33" s="103" t="str">
        <f>CONCATENATE(Rezultati!$D$16," ")</f>
        <v>Zara Nahtigal Lavrič Žužemberk / Ana Štravs </v>
      </c>
      <c r="C33" s="104"/>
      <c r="D33" s="104"/>
      <c r="E33" s="143" t="str">
        <f>CONCATENATE("(",Rezultati!$G$49," : ",Rezultati!$I$49,")")</f>
        <v>( : )</v>
      </c>
      <c r="F33" s="105"/>
      <c r="G33" s="144" t="str">
        <f>CONCATENATE("(",Rezultati!$G$48," : ",Rezultati!$I$48,")")</f>
        <v>( : )</v>
      </c>
      <c r="H33" s="105"/>
      <c r="I33" s="105"/>
      <c r="J33" s="117"/>
      <c r="K33" s="105"/>
      <c r="L33" s="106"/>
    </row>
    <row r="34" spans="1:12" ht="9" customHeight="1">
      <c r="A34" s="19"/>
      <c r="B34" s="107"/>
      <c r="C34" s="104"/>
      <c r="D34" s="104"/>
      <c r="E34" s="143"/>
      <c r="F34" s="105"/>
      <c r="G34" s="145"/>
      <c r="H34" s="105"/>
      <c r="I34" s="105"/>
      <c r="J34" s="105"/>
      <c r="K34" s="105"/>
      <c r="L34" s="108" t="str">
        <f>CONCATENATE(Rezultati!$D$23," ")</f>
        <v>Katjuša Plot Žužemberk / Neža Novak </v>
      </c>
    </row>
    <row r="35" spans="1:12" ht="9" customHeight="1">
      <c r="A35" s="103" t="str">
        <f>CONCATENATE(Rezultati!$F$8," ")</f>
        <v>Dita Reflak Vital / Katarina Kim Kilar </v>
      </c>
      <c r="B35" s="109" t="str">
        <f>CONCATENATE("",Rezultati!$A$16,"")</f>
        <v>13</v>
      </c>
      <c r="C35" s="110" t="str">
        <f>CONCATENATE(Rezultati!$D$30," ")</f>
        <v>Dita Reflak Vital / Katarina Kim Kilar </v>
      </c>
      <c r="D35" s="104"/>
      <c r="E35" s="146" t="str">
        <f>CONCATENATE(Rezultati!$F$49," ")</f>
        <v>Zmagovalec tekme #44 </v>
      </c>
      <c r="F35" s="134"/>
      <c r="G35" s="123" t="str">
        <f>CONCATENATE(Rezultati!$F$48," ")</f>
        <v>Poraženec tekme #44 </v>
      </c>
      <c r="H35" s="105"/>
      <c r="I35" s="105"/>
      <c r="J35" s="105"/>
      <c r="K35" s="105"/>
      <c r="L35" s="111"/>
    </row>
    <row r="36" spans="1:12" ht="9" customHeight="1">
      <c r="A36" s="184" t="str">
        <f>CONCATENATE("(",Rezultati!$I$8," : ",Rezultati!$G$8,")")</f>
        <v>(2 : 0)</v>
      </c>
      <c r="B36" s="185" t="str">
        <f>CONCATENATE("(",Rezultati!$G$16," : ",Rezultati!$I$16,")")</f>
        <v>(0 : 2)</v>
      </c>
      <c r="C36" s="107"/>
      <c r="D36" s="104"/>
      <c r="E36" s="19"/>
      <c r="F36" s="19"/>
      <c r="G36" s="19"/>
      <c r="H36" s="105"/>
      <c r="I36" s="105"/>
      <c r="J36" s="105"/>
      <c r="K36" s="112" t="str">
        <f>CONCATENATE(Rezultati!$D$34," ")</f>
        <v>Katjuša Plot Žužemberk / Neža Novak </v>
      </c>
      <c r="L36" s="113" t="str">
        <f>CONCATENATE("",Rezultati!$A$23,"")</f>
        <v>20</v>
      </c>
    </row>
    <row r="37" spans="1:12" ht="9" customHeight="1">
      <c r="A37" s="109" t="str">
        <f>CONCATENATE("",Rezultati!$A$8,"")</f>
        <v>5</v>
      </c>
      <c r="B37" s="114" t="str">
        <f>CONCATENATE(Rezultati!$F$16," ")</f>
        <v>Dita Reflak Vital / Katarina Kim Kilar </v>
      </c>
      <c r="C37" s="115"/>
      <c r="D37" s="104"/>
      <c r="E37" s="147"/>
      <c r="F37" s="105"/>
      <c r="G37" s="106"/>
      <c r="H37" s="105"/>
      <c r="I37" s="105"/>
      <c r="J37" s="105"/>
      <c r="K37" s="116"/>
      <c r="L37" s="143" t="str">
        <f>CONCATENATE("(",Rezultati!$G$23," : ",Rezultati!$I$23,")")</f>
        <v>(2 : 0)</v>
      </c>
    </row>
    <row r="38" spans="1:12" ht="9" customHeight="1">
      <c r="A38" s="114" t="str">
        <f>CONCATENATE(Rezultati!$D$8," ")</f>
        <v>Neja Legan Žužemberk / Tia Kopač </v>
      </c>
      <c r="B38" s="117"/>
      <c r="C38" s="115"/>
      <c r="D38" s="104"/>
      <c r="E38" s="104"/>
      <c r="F38" s="105"/>
      <c r="G38" s="105"/>
      <c r="H38" s="105"/>
      <c r="I38" s="105"/>
      <c r="J38" s="105"/>
      <c r="K38" s="118"/>
      <c r="L38" s="119" t="str">
        <f>CONCATENATE(Rezultati!$F$23," ")</f>
        <v>Neja Legan Žužemberk / Tia Kopač </v>
      </c>
    </row>
    <row r="39" spans="1:12" ht="9" customHeight="1">
      <c r="A39" s="108"/>
      <c r="B39" s="120"/>
      <c r="C39" s="109" t="str">
        <f>CONCATENATE("",Rezultati!$A$30,"")</f>
        <v>27</v>
      </c>
      <c r="D39" s="110" t="str">
        <f>CONCATENATE(Rezultati!$D$41," ")</f>
        <v>Živa Šoštarič Cestnik / Izabela Rošer </v>
      </c>
      <c r="E39" s="104"/>
      <c r="F39" s="105"/>
      <c r="G39" s="105"/>
      <c r="H39" s="105"/>
      <c r="I39" s="105"/>
      <c r="J39" s="105"/>
      <c r="K39" s="118"/>
      <c r="L39" s="117"/>
    </row>
    <row r="40" spans="1:12" ht="9" customHeight="1">
      <c r="A40" s="103" t="str">
        <f>CONCATENATE(Rezultati!$D$9," ")</f>
        <v>Neja Železnik Calcit / Lana Špetič </v>
      </c>
      <c r="B40" s="120"/>
      <c r="C40" s="115"/>
      <c r="D40" s="107"/>
      <c r="E40" s="104"/>
      <c r="F40" s="105"/>
      <c r="G40" s="105"/>
      <c r="H40" s="105"/>
      <c r="I40" s="105"/>
      <c r="J40" s="112" t="str">
        <f>CONCATENATE(Rezultati!$D$38," ")</f>
        <v>Katjuša Plot Žužemberk / Neža Novak </v>
      </c>
      <c r="K40" s="113" t="str">
        <f>CONCATENATE("",Rezultati!$A$34,"")</f>
        <v>31</v>
      </c>
      <c r="L40" s="106"/>
    </row>
    <row r="41" spans="1:12" ht="9" customHeight="1">
      <c r="A41" s="184" t="str">
        <f>CONCATENATE("(",Rezultati!$G$9," : ",Rezultati!$I$9,")")</f>
        <v>(2 : 0)</v>
      </c>
      <c r="B41" s="121" t="str">
        <f>CONCATENATE(Rezultati!$D$17," ")</f>
        <v>Neja Železnik Calcit / Lana Špetič </v>
      </c>
      <c r="C41" s="185" t="str">
        <f>CONCATENATE("(",Rezultati!$G$30," : ",Rezultati!$I$30,")")</f>
        <v>(1 : 2)</v>
      </c>
      <c r="D41" s="115"/>
      <c r="E41" s="104"/>
      <c r="F41" s="105"/>
      <c r="G41" s="105"/>
      <c r="H41" s="105"/>
      <c r="I41" s="105"/>
      <c r="J41" s="116"/>
      <c r="K41" s="118"/>
      <c r="L41" s="106"/>
    </row>
    <row r="42" spans="1:12" ht="9" customHeight="1">
      <c r="A42" s="109" t="str">
        <f>CONCATENATE("",Rezultati!$A$9,"")</f>
        <v>6</v>
      </c>
      <c r="B42" s="107"/>
      <c r="C42" s="115"/>
      <c r="D42" s="115"/>
      <c r="E42" s="104"/>
      <c r="F42" s="105"/>
      <c r="G42" s="105"/>
      <c r="H42" s="122" t="str">
        <f>CONCATENATE(Rezultati!$F$45," ")</f>
        <v>Ajda Hribar Calcit / Eva Albič </v>
      </c>
      <c r="I42" s="105"/>
      <c r="J42" s="118"/>
      <c r="K42" s="143" t="str">
        <f>CONCATENATE("(",Rezultati!$G$34," : ",Rezultati!$I$34,")")</f>
        <v>(2 : 0)</v>
      </c>
      <c r="L42" s="108" t="str">
        <f>CONCATENATE(Rezultati!$D$22," ")</f>
        <v>Ekipa št.22 </v>
      </c>
    </row>
    <row r="43" spans="1:12" ht="9" customHeight="1">
      <c r="A43" s="114" t="str">
        <f>CONCATENATE(Rezultati!$F$9," ")</f>
        <v>Ekipa št.22 </v>
      </c>
      <c r="B43" s="109" t="str">
        <f>CONCATENATE("",Rezultati!$A$17,"")</f>
        <v>14</v>
      </c>
      <c r="C43" s="123" t="str">
        <f>CONCATENATE(Rezultati!$F$30," ")</f>
        <v>Živa Šoštarič Cestnik / Izabela Rošer </v>
      </c>
      <c r="D43" s="115"/>
      <c r="E43" s="104"/>
      <c r="F43" s="105"/>
      <c r="G43" s="105"/>
      <c r="H43" s="111"/>
      <c r="I43" s="105"/>
      <c r="J43" s="129"/>
      <c r="K43" s="118"/>
      <c r="L43" s="111"/>
    </row>
    <row r="44" spans="1:12" ht="9" customHeight="1">
      <c r="A44" s="108"/>
      <c r="B44" s="185" t="str">
        <f>CONCATENATE("(",Rezultati!$G$17," : ",Rezultati!$I$17,")")</f>
        <v>(0 : 2)</v>
      </c>
      <c r="C44" s="117"/>
      <c r="D44" s="115"/>
      <c r="E44" s="104"/>
      <c r="F44" s="105"/>
      <c r="G44" s="105"/>
      <c r="H44" s="118"/>
      <c r="I44" s="112" t="str">
        <f>CONCATENATE(Rezultati!$D$43," ")</f>
        <v>Neja Potočnik Lubnik / Lia Pipp </v>
      </c>
      <c r="J44" s="113" t="str">
        <f>CONCATENATE("",Rezultati!$A$38,"")</f>
        <v>35</v>
      </c>
      <c r="K44" s="126" t="str">
        <f>CONCATENATE(Rezultati!$F$34," ")</f>
        <v>Živa Bastjančič  vc Portorož / Valentina Dilica Valentinčič </v>
      </c>
      <c r="L44" s="113" t="str">
        <f>CONCATENATE("",Rezultati!$A$22,"")</f>
        <v>19</v>
      </c>
    </row>
    <row r="45" spans="1:12" ht="9" customHeight="1">
      <c r="A45" s="19"/>
      <c r="B45" s="114" t="str">
        <f>CONCATENATE(Rezultati!$F$17," ")</f>
        <v>Živa Šoštarič Cestnik / Izabela Rošer </v>
      </c>
      <c r="C45" s="104"/>
      <c r="D45" s="115"/>
      <c r="E45" s="104"/>
      <c r="F45" s="105"/>
      <c r="G45" s="105"/>
      <c r="H45" s="118"/>
      <c r="I45" s="116">
        <f>IF(OR(Rezultati!$G$38&gt;=12,Rezultati!$I$38&gt;=12),CONCATENATE(MAX(Rezultati!$G$38,Rezultati!$I$38),"-",MIN(Rezultati!$G$38,Rezultati!$I$38),""),"")</f>
      </c>
      <c r="J45" s="118"/>
      <c r="K45" s="107"/>
      <c r="L45" s="143" t="str">
        <f>CONCATENATE("(",Rezultati!$G$22," : ",Rezultati!$I$22,")")</f>
        <v>(0 : 2)</v>
      </c>
    </row>
    <row r="46" spans="1:12" ht="9" customHeight="1">
      <c r="A46" s="19"/>
      <c r="B46" s="117"/>
      <c r="C46" s="104"/>
      <c r="D46" s="128"/>
      <c r="E46" s="104"/>
      <c r="F46" s="19"/>
      <c r="G46" s="105"/>
      <c r="H46" s="129"/>
      <c r="I46" s="118"/>
      <c r="J46" s="143" t="str">
        <f>CONCATENATE("(",Rezultati!$G$38," : ",Rezultati!$I$38,")")</f>
        <v>(1 : 2)</v>
      </c>
      <c r="K46" s="105"/>
      <c r="L46" s="119" t="str">
        <f>CONCATENATE(Rezultati!$F$22," ")</f>
        <v>Živa Bastjančič  vc Portorož / Valentina Dilica Valentinčič </v>
      </c>
    </row>
    <row r="47" spans="1:12" ht="9" customHeight="1">
      <c r="A47" s="19"/>
      <c r="B47" s="120"/>
      <c r="C47" s="104"/>
      <c r="D47" s="109" t="str">
        <f>CONCATENATE("",Rezultati!$A$41,"")</f>
        <v>38</v>
      </c>
      <c r="E47" s="148" t="str">
        <f>CONCATENATE(Rezultati!$D$47," ")</f>
        <v>Taja Šketa Rozman Cestnik / Iza Rozman </v>
      </c>
      <c r="F47" s="149" t="str">
        <f>CONCATENATE("",Rezultati!$A$47,"")</f>
        <v>44</v>
      </c>
      <c r="G47" s="114" t="str">
        <f>CONCATENATE(Rezultati!$F$47," ")</f>
        <v>Dita Reflak Vital / Katarina Kim Kilar </v>
      </c>
      <c r="H47" s="113" t="str">
        <f>CONCATENATE("",Rezultati!$A$45,"")</f>
        <v>42</v>
      </c>
      <c r="I47" s="118"/>
      <c r="J47" s="118"/>
      <c r="K47" s="105"/>
      <c r="L47" s="117"/>
    </row>
    <row r="48" spans="1:12" ht="9" customHeight="1">
      <c r="A48" s="19"/>
      <c r="B48" s="120"/>
      <c r="C48" s="104"/>
      <c r="D48" s="115"/>
      <c r="E48" s="117"/>
      <c r="F48" s="150" t="str">
        <f>CONCATENATE("(",Rezultati!$G$47," : ",Rezultati!$I$47,")")</f>
        <v>( : )</v>
      </c>
      <c r="G48" s="107"/>
      <c r="H48" s="118"/>
      <c r="I48" s="118"/>
      <c r="J48" s="119" t="str">
        <f>CONCATENATE(Rezultati!$F$38," ")</f>
        <v>Neja Potočnik Lubnik / Lia Pipp </v>
      </c>
      <c r="K48" s="105"/>
      <c r="L48" s="106"/>
    </row>
    <row r="49" spans="1:12" ht="9" customHeight="1">
      <c r="A49" s="19"/>
      <c r="B49" s="103" t="str">
        <f>CONCATENATE(Rezultati!$D$18," ")</f>
        <v>Taja Šketa Rozman Cestnik / Iza Rozman </v>
      </c>
      <c r="C49" s="104"/>
      <c r="D49" s="185" t="str">
        <f>CONCATENATE("(",Rezultati!$G$41," : ",Rezultati!$I$41,")")</f>
        <v>(1 : 2)</v>
      </c>
      <c r="E49" s="104"/>
      <c r="F49" s="142"/>
      <c r="G49" s="105"/>
      <c r="H49" s="143" t="str">
        <f>CONCATENATE("(",Rezultati!$I$45," : ",Rezultati!$G$45,")")</f>
        <v>(0 : 2)</v>
      </c>
      <c r="I49" s="118"/>
      <c r="J49" s="117"/>
      <c r="K49" s="105"/>
      <c r="L49" s="106"/>
    </row>
    <row r="50" spans="1:12" ht="9" customHeight="1">
      <c r="A50" s="19"/>
      <c r="B50" s="107"/>
      <c r="C50" s="104"/>
      <c r="D50" s="115"/>
      <c r="E50" s="104"/>
      <c r="F50" s="125" t="s">
        <v>31</v>
      </c>
      <c r="G50" s="105"/>
      <c r="H50" s="118"/>
      <c r="I50" s="118"/>
      <c r="J50" s="105"/>
      <c r="K50" s="105"/>
      <c r="L50" s="108" t="str">
        <f>CONCATENATE(Rezultati!$D$21," ")</f>
        <v>Lea Žnidaršič Ok Logatec / Tinkara Nagode </v>
      </c>
    </row>
    <row r="51" spans="1:12" ht="9" customHeight="1">
      <c r="A51" s="151" t="str">
        <f>CONCATENATE(Rezultati!$F$10," ")</f>
        <v>Ekipa št.23 </v>
      </c>
      <c r="B51" s="109" t="str">
        <f>CONCATENATE("",Rezultati!$A$18,"")</f>
        <v>15</v>
      </c>
      <c r="C51" s="110" t="str">
        <f>CONCATENATE(Rezultati!$D$31," ")</f>
        <v>Taja Šketa Rozman Cestnik / Iza Rozman </v>
      </c>
      <c r="D51" s="115"/>
      <c r="E51" s="104"/>
      <c r="F51" s="105"/>
      <c r="G51" s="105"/>
      <c r="H51" s="118"/>
      <c r="I51" s="118"/>
      <c r="J51" s="105"/>
      <c r="K51" s="105"/>
      <c r="L51" s="111"/>
    </row>
    <row r="52" spans="1:12" ht="9" customHeight="1">
      <c r="A52" s="184" t="str">
        <f>CONCATENATE("(",Rezultati!$I$10," : ",Rezultati!$G$10,")")</f>
        <v>(0 : 2)</v>
      </c>
      <c r="B52" s="185" t="str">
        <f>CONCATENATE("(",Rezultati!$G$18," : ",Rezultati!$I$18,")")</f>
        <v>(2 : 0)</v>
      </c>
      <c r="C52" s="107"/>
      <c r="D52" s="115"/>
      <c r="E52" s="104"/>
      <c r="F52" s="105"/>
      <c r="G52" s="105"/>
      <c r="H52" s="126" t="str">
        <f>CONCATENATE(Rezultati!$D$45," ")</f>
        <v>Dita Reflak Vital / Katarina Kim Kilar </v>
      </c>
      <c r="I52" s="113" t="str">
        <f>CONCATENATE("",Rezultati!$A$43,"")</f>
        <v>40</v>
      </c>
      <c r="J52" s="105"/>
      <c r="K52" s="112" t="str">
        <f>CONCATENATE(Rezultati!$D$35," ")</f>
        <v>Lea Žnidaršič Ok Logatec / Tinkara Nagode </v>
      </c>
      <c r="L52" s="113" t="str">
        <f>CONCATENATE("",Rezultati!$A$21,"")</f>
        <v>18</v>
      </c>
    </row>
    <row r="53" spans="1:12" ht="9" customHeight="1">
      <c r="A53" s="109" t="str">
        <f>CONCATENATE("",Rezultati!$A$10,"")</f>
        <v>7</v>
      </c>
      <c r="B53" s="114" t="str">
        <f>CONCATENATE(Rezultati!$F$18," ")</f>
        <v>Maša Menard ok Logatec / Zoja Petelin </v>
      </c>
      <c r="C53" s="115"/>
      <c r="D53" s="115"/>
      <c r="E53" s="104"/>
      <c r="F53" s="105"/>
      <c r="G53" s="105"/>
      <c r="H53" s="107"/>
      <c r="I53" s="118"/>
      <c r="J53" s="105"/>
      <c r="K53" s="116"/>
      <c r="L53" s="143" t="str">
        <f>CONCATENATE("(",Rezultati!$G$21," : ",Rezultati!$I$21,")")</f>
        <v>(2 : 0)</v>
      </c>
    </row>
    <row r="54" spans="1:12" ht="9" customHeight="1">
      <c r="A54" s="114" t="str">
        <f>CONCATENATE(Rezultati!$D$10," ")</f>
        <v>Maša Menard ok Logatec / Zoja Petelin </v>
      </c>
      <c r="B54" s="117"/>
      <c r="C54" s="115"/>
      <c r="D54" s="115"/>
      <c r="E54" s="104"/>
      <c r="F54" s="105"/>
      <c r="G54" s="105"/>
      <c r="H54" s="105"/>
      <c r="I54" s="143" t="str">
        <f>CONCATENATE("(",Rezultati!$G$43," : ",Rezultati!$I$43,")")</f>
        <v>(0 : 2)</v>
      </c>
      <c r="J54" s="105"/>
      <c r="K54" s="118"/>
      <c r="L54" s="119" t="str">
        <f>CONCATENATE(Rezultati!$F$21," ")</f>
        <v>Ekipa št.23 </v>
      </c>
    </row>
    <row r="55" spans="1:12" ht="9" customHeight="1">
      <c r="A55" s="108"/>
      <c r="B55" s="120"/>
      <c r="C55" s="109" t="str">
        <f>CONCATENATE("",Rezultati!$A$31,"")</f>
        <v>28</v>
      </c>
      <c r="D55" s="123" t="str">
        <f>CONCATENATE(Rezultati!$F$41," ")</f>
        <v>Taja Šketa Rozman Cestnik / Iza Rozman </v>
      </c>
      <c r="E55" s="104"/>
      <c r="F55" s="105"/>
      <c r="G55" s="105"/>
      <c r="H55" s="105"/>
      <c r="I55" s="118"/>
      <c r="J55" s="105"/>
      <c r="K55" s="118"/>
      <c r="L55" s="117"/>
    </row>
    <row r="56" spans="1:12" ht="9" customHeight="1">
      <c r="A56" s="103" t="str">
        <f>CONCATENATE(Rezultati!$D$11," ")</f>
        <v>Neja Potočnik Lubnik / Lia Pipp </v>
      </c>
      <c r="B56" s="120"/>
      <c r="C56" s="115"/>
      <c r="D56" s="117"/>
      <c r="E56" s="104"/>
      <c r="F56" s="105"/>
      <c r="G56" s="105"/>
      <c r="H56" s="105"/>
      <c r="I56" s="118"/>
      <c r="J56" s="112" t="str">
        <f>CONCATENATE(Rezultati!$D$39," ")</f>
        <v>Lea Žnidaršič Ok Logatec / Tinkara Nagode </v>
      </c>
      <c r="K56" s="113" t="str">
        <f>CONCATENATE("",Rezultati!$A$35,"")</f>
        <v>32</v>
      </c>
      <c r="L56" s="106"/>
    </row>
    <row r="57" spans="1:12" ht="9" customHeight="1">
      <c r="A57" s="184" t="str">
        <f>CONCATENATE("(",Rezultati!$G$11," : ",Rezultati!$I$11,")")</f>
        <v>(2 : 1)</v>
      </c>
      <c r="B57" s="121" t="str">
        <f>CONCATENATE(Rezultati!$D$19," ")</f>
        <v>Neja Potočnik Lubnik / Lia Pipp </v>
      </c>
      <c r="C57" s="185" t="str">
        <f>CONCATENATE("(",Rezultati!$G$31," : ",Rezultati!$I$31,")")</f>
        <v>(2 : 0)</v>
      </c>
      <c r="D57" s="104"/>
      <c r="E57" s="105"/>
      <c r="F57" s="105"/>
      <c r="G57" s="105"/>
      <c r="H57" s="105"/>
      <c r="I57" s="118"/>
      <c r="J57" s="116"/>
      <c r="K57" s="118"/>
      <c r="L57" s="106"/>
    </row>
    <row r="58" spans="1:12" ht="9" customHeight="1">
      <c r="A58" s="109" t="str">
        <f>CONCATENATE("",Rezultati!$A$11,"")</f>
        <v>8</v>
      </c>
      <c r="B58" s="107"/>
      <c r="C58" s="115"/>
      <c r="D58" s="104"/>
      <c r="E58" s="105"/>
      <c r="F58" s="105"/>
      <c r="G58" s="105"/>
      <c r="H58" s="105"/>
      <c r="I58" s="118"/>
      <c r="J58" s="118"/>
      <c r="K58" s="143" t="str">
        <f>CONCATENATE("(",Rezultati!$G$35," : ",Rezultati!$I$35,")")</f>
        <v>(2 : 0)</v>
      </c>
      <c r="L58" s="108" t="str">
        <f>CONCATENATE(Rezultati!$D$20," ")</f>
        <v>Vesna Kondić Lubnik / Mina Krek </v>
      </c>
    </row>
    <row r="59" spans="1:12" ht="9" customHeight="1">
      <c r="A59" s="114" t="str">
        <f>CONCATENATE(Rezultati!$F$11," ")</f>
        <v>Vesna Kondić Lubnik / Mina Krek </v>
      </c>
      <c r="B59" s="109" t="str">
        <f>CONCATENATE("",Rezultati!$A$19,"")</f>
        <v>16</v>
      </c>
      <c r="C59" s="123" t="str">
        <f>CONCATENATE(Rezultati!$F$31," ")</f>
        <v>Neja Potočnik Lubnik / Lia Pipp </v>
      </c>
      <c r="D59" s="104"/>
      <c r="E59" s="105"/>
      <c r="F59" s="105"/>
      <c r="G59" s="105"/>
      <c r="H59" s="105"/>
      <c r="I59" s="118"/>
      <c r="J59" s="129"/>
      <c r="K59" s="118"/>
      <c r="L59" s="111"/>
    </row>
    <row r="60" spans="1:12" ht="9" customHeight="1">
      <c r="A60" s="108"/>
      <c r="B60" s="185" t="str">
        <f>CONCATENATE("(",Rezultati!$G$19," : ",Rezultati!$I$19,")")</f>
        <v>(2 : 1)</v>
      </c>
      <c r="C60" s="117"/>
      <c r="D60" s="104"/>
      <c r="E60" s="105"/>
      <c r="F60" s="105"/>
      <c r="G60" s="105"/>
      <c r="H60" s="105"/>
      <c r="I60" s="126" t="str">
        <f>CONCATENATE(Rezultati!$F$43," ")</f>
        <v>Dita Reflak Vital / Katarina Kim Kilar </v>
      </c>
      <c r="J60" s="113" t="str">
        <f>CONCATENATE("",Rezultati!$A$39,"")</f>
        <v>36</v>
      </c>
      <c r="K60" s="126" t="str">
        <f>CONCATENATE(Rezultati!$F$35," ")</f>
        <v>Vesna Kondić Lubnik / Mina Krek </v>
      </c>
      <c r="L60" s="113" t="str">
        <f>CONCATENATE("",Rezultati!$A$20,"")</f>
        <v>17</v>
      </c>
    </row>
    <row r="61" spans="1:12" ht="9" customHeight="1">
      <c r="A61" s="19"/>
      <c r="B61" s="114" t="str">
        <f>CONCATENATE(Rezultati!$F$19," ")</f>
        <v>Sara Radunović Vital / Nina Debelak </v>
      </c>
      <c r="C61" s="104"/>
      <c r="D61" s="104"/>
      <c r="E61" s="105"/>
      <c r="F61" s="105"/>
      <c r="G61" s="105"/>
      <c r="H61" s="105"/>
      <c r="I61" s="107">
        <f>IF(OR(Rezultati!$G$39&gt;=12,Rezultati!$I$39&gt;=12),CONCATENATE(MAX(Rezultati!$G$39,Rezultati!$I$39),"-",MIN(Rezultati!$G$39,Rezultati!$I$39),""),"")</f>
      </c>
      <c r="J61" s="118"/>
      <c r="K61" s="107"/>
      <c r="L61" s="143" t="str">
        <f>CONCATENATE("(",Rezultati!$G$20," : ",Rezultati!$I$20,")")</f>
        <v>(2 : 0)</v>
      </c>
    </row>
    <row r="62" spans="1:12" ht="12">
      <c r="A62" s="19"/>
      <c r="B62" s="117"/>
      <c r="C62" s="104"/>
      <c r="D62" s="104"/>
      <c r="E62" s="105"/>
      <c r="F62" s="105"/>
      <c r="G62" s="105"/>
      <c r="H62" s="105"/>
      <c r="I62" s="105"/>
      <c r="J62" s="143" t="str">
        <f>CONCATENATE("(",Rezultati!$G$39," : ",Rezultati!$I$39,")")</f>
        <v>(0 : 2)</v>
      </c>
      <c r="K62" s="105"/>
      <c r="L62" s="119" t="str">
        <f>CONCATENATE(Rezultati!$F$20," ")</f>
        <v>Julija Četina / Iza Koren </v>
      </c>
    </row>
    <row r="63" spans="1:12" ht="12">
      <c r="A63" s="19"/>
      <c r="B63" s="120"/>
      <c r="C63" s="104"/>
      <c r="D63" s="104"/>
      <c r="E63" s="105"/>
      <c r="F63" s="105"/>
      <c r="G63" s="105"/>
      <c r="H63" s="105"/>
      <c r="I63" s="105"/>
      <c r="J63" s="118"/>
      <c r="K63" s="105"/>
      <c r="L63" s="117"/>
    </row>
    <row r="64" spans="1:12" ht="9">
      <c r="A64" s="147"/>
      <c r="B64" s="105"/>
      <c r="C64" s="105"/>
      <c r="D64" s="105"/>
      <c r="E64" s="105"/>
      <c r="F64" s="105"/>
      <c r="G64" s="105"/>
      <c r="H64" s="105"/>
      <c r="I64" s="105"/>
      <c r="J64" s="119" t="str">
        <f>CONCATENATE(Rezultati!$F$39," ")</f>
        <v>Dita Reflak Vital / Katarina Kim Kilar </v>
      </c>
      <c r="K64" s="105"/>
      <c r="L64" s="106"/>
    </row>
    <row r="65" spans="1:12" ht="8.25" customHeight="1">
      <c r="A65" s="147"/>
      <c r="B65" s="105"/>
      <c r="C65" s="105"/>
      <c r="D65" s="105"/>
      <c r="E65" s="105"/>
      <c r="F65" s="105"/>
      <c r="G65" s="105"/>
      <c r="H65" s="105"/>
      <c r="I65" s="105"/>
      <c r="J65" s="117"/>
      <c r="K65" s="105"/>
      <c r="L65" s="106"/>
    </row>
    <row r="66" spans="1:12" ht="9">
      <c r="A66" s="147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6"/>
    </row>
  </sheetData>
  <sheetProtection/>
  <mergeCells count="2">
    <mergeCell ref="E2:H3"/>
    <mergeCell ref="F4:G4"/>
  </mergeCells>
  <printOptions horizontalCentered="1" verticalCentered="1"/>
  <pageMargins left="0.3937007874015748" right="0.3937007874015748" top="0.2362204724409449" bottom="0.3937007874015748" header="0.3937007874015748" footer="0.5118110236220472"/>
  <pageSetup fitToHeight="1" fitToWidth="1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C7" sqref="C7"/>
    </sheetView>
  </sheetViews>
  <sheetFormatPr defaultColWidth="9.140625" defaultRowHeight="12.75"/>
  <cols>
    <col min="1" max="1" width="4.140625" style="3" customWidth="1"/>
    <col min="2" max="2" width="29.28125" style="0" customWidth="1"/>
    <col min="3" max="4" width="23.57421875" style="0" customWidth="1"/>
  </cols>
  <sheetData>
    <row r="1" spans="1:4" ht="12">
      <c r="A1" s="43"/>
      <c r="B1" s="19"/>
      <c r="C1" s="19"/>
      <c r="D1" s="19"/>
    </row>
    <row r="2" spans="1:4" ht="15">
      <c r="A2" s="235" t="str">
        <f>'Seznam ekip'!C1</f>
        <v>Državno prvenstvo U-16 dekleta Žužemberk - kval</v>
      </c>
      <c r="B2" s="235"/>
      <c r="C2" s="235"/>
      <c r="D2" s="235"/>
    </row>
    <row r="3" spans="1:4" ht="12">
      <c r="A3" s="152"/>
      <c r="B3" s="19"/>
      <c r="C3" s="19"/>
      <c r="D3" s="19"/>
    </row>
    <row r="4" spans="1:4" ht="12">
      <c r="A4" s="236" t="str">
        <f>'Seznam ekip'!C3</f>
        <v>01.07.2023</v>
      </c>
      <c r="B4" s="236"/>
      <c r="C4" s="236"/>
      <c r="D4" s="236"/>
    </row>
    <row r="5" spans="1:4" ht="12.75" thickBot="1">
      <c r="A5" s="43"/>
      <c r="B5" s="19"/>
      <c r="C5" s="19"/>
      <c r="D5" s="19"/>
    </row>
    <row r="6" spans="1:4" ht="39" customHeight="1" thickBot="1" thickTop="1">
      <c r="A6" s="153" t="s">
        <v>26</v>
      </c>
      <c r="B6" s="154" t="s">
        <v>27</v>
      </c>
      <c r="C6" s="174" t="s">
        <v>63</v>
      </c>
      <c r="D6" s="175" t="s">
        <v>64</v>
      </c>
    </row>
    <row r="7" spans="1:4" ht="15.75" customHeight="1" thickTop="1">
      <c r="A7" s="157">
        <v>1</v>
      </c>
      <c r="B7" s="158" t="str">
        <f>IF(Rezultati!$G$49=Rezultati!$I$49,"1. mesto",IF(Rezultati!$G$49&gt;Rezultati!$I$49,Rezultati!$D$49,Rezultati!$F$49))</f>
        <v>1. mesto</v>
      </c>
      <c r="C7" s="176" t="e">
        <f>VLOOKUP(Lestvica!B7,'Seznam ekip'!$K$6:$O$29,2,FALSE)</f>
        <v>#N/A</v>
      </c>
      <c r="D7" s="177" t="e">
        <f>VLOOKUP(Lestvica!B7,'Seznam ekip'!$K$6:$O$29,4,FALSE)</f>
        <v>#N/A</v>
      </c>
    </row>
    <row r="8" spans="1:4" ht="15.75" customHeight="1">
      <c r="A8" s="155">
        <f>SUM(A7,1)</f>
        <v>2</v>
      </c>
      <c r="B8" s="156" t="str">
        <f>IF(Rezultati!$G$49=Rezultati!$I$49,"2. mesto",IF(Rezultati!$G$49&lt;Rezultati!$I$49,Rezultati!$D$49,Rezultati!$F$49))</f>
        <v>2. mesto</v>
      </c>
      <c r="C8" s="178" t="e">
        <f>VLOOKUP(Lestvica!B8,'Seznam ekip'!$K$6:$O$29,2,FALSE)</f>
        <v>#N/A</v>
      </c>
      <c r="D8" s="179" t="e">
        <f>VLOOKUP(Lestvica!B8,'Seznam ekip'!$K$6:$O$29,4,FALSE)</f>
        <v>#N/A</v>
      </c>
    </row>
    <row r="9" spans="1:4" ht="15.75" customHeight="1">
      <c r="A9" s="155">
        <f>SUM(A8,1)</f>
        <v>3</v>
      </c>
      <c r="B9" s="156" t="str">
        <f>IF(Rezultati!$G$48=Rezultati!$I$48,"3. mesto",IF(Rezultati!$G$48&gt;Rezultati!$I$48,Rezultati!$D$48,Rezultati!$F$48))</f>
        <v>3. mesto</v>
      </c>
      <c r="C9" s="178" t="e">
        <f>VLOOKUP(Lestvica!B9,'Seznam ekip'!$K$6:$O$29,2,FALSE)</f>
        <v>#N/A</v>
      </c>
      <c r="D9" s="179" t="e">
        <f>VLOOKUP(Lestvica!B9,'Seznam ekip'!$K$6:$O$29,4,FALSE)</f>
        <v>#N/A</v>
      </c>
    </row>
    <row r="10" spans="1:4" ht="15.75" customHeight="1">
      <c r="A10" s="155">
        <f>SUM(A9,1)</f>
        <v>4</v>
      </c>
      <c r="B10" s="156" t="str">
        <f>IF(Rezultati!$G$48=Rezultati!$I$48,"4. mesto",IF(Rezultati!$G$48&lt;Rezultati!$I$48,Rezultati!$D$48,Rezultati!$F$48))</f>
        <v>4. mesto</v>
      </c>
      <c r="C10" s="178" t="e">
        <f>VLOOKUP(Lestvica!B10,'Seznam ekip'!$K$6:$O$29,2,FALSE)</f>
        <v>#N/A</v>
      </c>
      <c r="D10" s="179" t="e">
        <f>VLOOKUP(Lestvica!B10,'Seznam ekip'!$K$6:$O$29,4,FALSE)</f>
        <v>#N/A</v>
      </c>
    </row>
    <row r="11" spans="1:4" ht="15.75" customHeight="1">
      <c r="A11" s="155">
        <f>SUM(A10,1)</f>
        <v>5</v>
      </c>
      <c r="B11" s="156" t="str">
        <f>IF(Rezultati!$G$44=Rezultati!$I$44,"5. mesto",IF(Rezultati!$G$44&lt;Rezultati!$I$44,Rezultati!$D$44,Rezultati!$F$44))</f>
        <v>Sara Radunović Vital / Nina Debelak</v>
      </c>
      <c r="C11" s="178" t="str">
        <f>VLOOKUP(Lestvica!B11,'Seznam ekip'!$K$6:$O$29,2,FALSE)</f>
        <v>Sara Radunović Vital </v>
      </c>
      <c r="D11" s="179" t="str">
        <f>VLOOKUP(Lestvica!B11,'Seznam ekip'!$K$6:$O$29,4,FALSE)</f>
        <v>Nina Debelak </v>
      </c>
    </row>
    <row r="12" spans="1:4" ht="15.75" customHeight="1">
      <c r="A12" s="155">
        <v>5</v>
      </c>
      <c r="B12" s="156" t="str">
        <f>IF(Rezultati!$G$45=Rezultati!$I$45,"5. mesto",IF(Rezultati!$G$45&lt;Rezultati!$I$45,Rezultati!$D$45,Rezultati!$F$45))</f>
        <v>Ajda Hribar Calcit / Eva Albič</v>
      </c>
      <c r="C12" s="178" t="str">
        <f>VLOOKUP(Lestvica!B12,'Seznam ekip'!$K$6:$O$29,2,FALSE)</f>
        <v>Ajda Hribar Calcit </v>
      </c>
      <c r="D12" s="179" t="str">
        <f>VLOOKUP(Lestvica!B12,'Seznam ekip'!$K$6:$O$29,4,FALSE)</f>
        <v>Eva Albič </v>
      </c>
    </row>
    <row r="13" spans="1:4" ht="15.75" customHeight="1">
      <c r="A13" s="157">
        <v>7</v>
      </c>
      <c r="B13" s="156" t="str">
        <f>IF(Rezultati!$G$42=Rezultati!$I$42,"7. mesto",IF(Rezultati!$G$42&lt;Rezultati!$I$42,Rezultati!$D$42,Rezultati!$F$42))</f>
        <v>Neja Železnik Calcit / Lana Špetič</v>
      </c>
      <c r="C13" s="178" t="str">
        <f>VLOOKUP(Lestvica!B13,'Seznam ekip'!$K$6:$O$29,2,FALSE)</f>
        <v>Neja Železnik Calcit </v>
      </c>
      <c r="D13" s="179" t="str">
        <f>VLOOKUP(Lestvica!B13,'Seznam ekip'!$K$6:$O$29,4,FALSE)</f>
        <v>Lana Špetič </v>
      </c>
    </row>
    <row r="14" spans="1:4" ht="15.75" customHeight="1">
      <c r="A14" s="155">
        <v>7</v>
      </c>
      <c r="B14" s="156" t="str">
        <f>IF(Rezultati!$G$43=Rezultati!$I$43,"7. mesto",IF(Rezultati!$G$43&lt;Rezultati!$I$43,Rezultati!$D$43,Rezultati!$F$43))</f>
        <v>Neja Potočnik Lubnik / Lia Pipp</v>
      </c>
      <c r="C14" s="178" t="str">
        <f>VLOOKUP(Lestvica!B14,'Seznam ekip'!$K$6:$O$29,2,FALSE)</f>
        <v>Neja Potočnik Lubnik </v>
      </c>
      <c r="D14" s="179" t="str">
        <f>VLOOKUP(Lestvica!B14,'Seznam ekip'!$K$6:$O$29,4,FALSE)</f>
        <v>Lia Pipp </v>
      </c>
    </row>
    <row r="15" spans="1:4" ht="15.75" customHeight="1">
      <c r="A15" s="155">
        <v>9</v>
      </c>
      <c r="B15" s="156" t="str">
        <f>IF(Rezultati!$G$36=Rezultati!$I$36,"9. mesto",IF(Rezultati!$G$36&lt;Rezultati!$I$36,Rezultati!$D$36,Rezultati!$F$36))</f>
        <v>Katerina Đokić Calcit / Lea Vidmar</v>
      </c>
      <c r="C15" s="178" t="str">
        <f>VLOOKUP(Lestvica!B15,'Seznam ekip'!$K$6:$O$29,2,FALSE)</f>
        <v>Katerina Đokić Calcit </v>
      </c>
      <c r="D15" s="179" t="str">
        <f>VLOOKUP(Lestvica!B15,'Seznam ekip'!$K$6:$O$29,4,FALSE)</f>
        <v>Lea Vidmar </v>
      </c>
    </row>
    <row r="16" spans="1:4" ht="15.75" customHeight="1">
      <c r="A16" s="155">
        <v>9</v>
      </c>
      <c r="B16" s="156" t="str">
        <f>IF(Rezultati!$G$37=Rezultati!$I$37,"9. mesto",IF(Rezultati!$G$37&lt;Rezultati!$I$37,Rezultati!$D$37,Rezultati!$F$37))</f>
        <v>Lara Goršič Lubnik / Nina Šifrar</v>
      </c>
      <c r="C16" s="178" t="str">
        <f>VLOOKUP(Lestvica!B16,'Seznam ekip'!$K$6:$O$29,2,FALSE)</f>
        <v>Lara Goršič Lubnik </v>
      </c>
      <c r="D16" s="179" t="str">
        <f>VLOOKUP(Lestvica!B16,'Seznam ekip'!$K$6:$O$29,4,FALSE)</f>
        <v>Nina Šifrar </v>
      </c>
    </row>
    <row r="17" spans="1:4" ht="15.75" customHeight="1">
      <c r="A17" s="155">
        <v>9</v>
      </c>
      <c r="B17" s="156" t="str">
        <f>IF(Rezultati!$G$38=Rezultati!$I$38,"9. mesto",IF(Rezultati!$G$38&lt;Rezultati!$I$38,Rezultati!$D$38,Rezultati!$F$38))</f>
        <v>Katjuša Plot Žužemberk / Neža Novak</v>
      </c>
      <c r="C17" s="178" t="str">
        <f>VLOOKUP(Lestvica!B17,'Seznam ekip'!$K$6:$O$29,2,FALSE)</f>
        <v>Katjuša Plot Žužemberk </v>
      </c>
      <c r="D17" s="179" t="str">
        <f>VLOOKUP(Lestvica!B17,'Seznam ekip'!$K$6:$O$29,4,FALSE)</f>
        <v>Neža Novak </v>
      </c>
    </row>
    <row r="18" spans="1:4" ht="15.75" customHeight="1">
      <c r="A18" s="155">
        <v>9</v>
      </c>
      <c r="B18" s="156" t="str">
        <f>IF(Rezultati!$G$39=Rezultati!$I$39,"9. mesto",IF(Rezultati!$G$39&lt;Rezultati!$I$39,Rezultati!$D$39,Rezultati!$F$39))</f>
        <v>Lea Žnidaršič Ok Logatec / Tinkara Nagode</v>
      </c>
      <c r="C18" s="178" t="str">
        <f>VLOOKUP(Lestvica!B18,'Seznam ekip'!$K$6:$O$29,2,FALSE)</f>
        <v>Lea Žnidaršič Ok Logatec </v>
      </c>
      <c r="D18" s="179" t="str">
        <f>VLOOKUP(Lestvica!B18,'Seznam ekip'!$K$6:$O$29,4,FALSE)</f>
        <v>Tinkara Nagode </v>
      </c>
    </row>
    <row r="19" spans="1:4" ht="15.75" customHeight="1">
      <c r="A19" s="155">
        <v>13</v>
      </c>
      <c r="B19" s="156" t="str">
        <f>IF(Rezultati!$G$32=Rezultati!$I$32,"13. mesto",IF(Rezultati!$G$32&lt;Rezultati!$I$32,Rezultati!$D$32,Rezultati!$F$32))</f>
        <v>Maša Menard ok Logatec / Zoja Petelin</v>
      </c>
      <c r="C19" s="178" t="str">
        <f>VLOOKUP(Lestvica!B19,'Seznam ekip'!$K$6:$O$29,2,FALSE)</f>
        <v>Maša Menard ok Logatec </v>
      </c>
      <c r="D19" s="179" t="str">
        <f>VLOOKUP(Lestvica!B19,'Seznam ekip'!$K$6:$O$29,4,FALSE)</f>
        <v>Zoja Petelin </v>
      </c>
    </row>
    <row r="20" spans="1:4" ht="15.75" customHeight="1">
      <c r="A20" s="155">
        <v>13</v>
      </c>
      <c r="B20" s="156" t="str">
        <f>IF(Rezultati!$G$33=Rezultati!$I$33,"13. mesto",IF(Rezultati!$G$33&lt;Rezultati!$I$33,Rezultati!$D$33,Rezultati!$F$33))</f>
        <v>Zara Nahtigal Lavrič Žužemberk / Ana Štravs</v>
      </c>
      <c r="C20" s="178" t="str">
        <f>VLOOKUP(Lestvica!B20,'Seznam ekip'!$K$6:$O$29,2,FALSE)</f>
        <v>Zara Nahtigal Lavrič Žužemberk </v>
      </c>
      <c r="D20" s="179" t="str">
        <f>VLOOKUP(Lestvica!B20,'Seznam ekip'!$K$6:$O$29,4,FALSE)</f>
        <v>Ana Štravs </v>
      </c>
    </row>
    <row r="21" spans="1:4" ht="15.75" customHeight="1">
      <c r="A21" s="155">
        <v>13</v>
      </c>
      <c r="B21" s="156" t="str">
        <f>IF(Rezultati!$G$34=Rezultati!$I$34,"13. mesto",IF(Rezultati!$G$34&lt;Rezultati!$I$34,Rezultati!$D$34,Rezultati!$F$34))</f>
        <v>Živa Bastjančič  vc Portorož / Valentina Dilica Valentinčič</v>
      </c>
      <c r="C21" s="178" t="str">
        <f>VLOOKUP(Lestvica!B21,'Seznam ekip'!$K$6:$O$29,2,FALSE)</f>
        <v>Živa Bastjančič  vc Portorož </v>
      </c>
      <c r="D21" s="179" t="str">
        <f>VLOOKUP(Lestvica!B21,'Seznam ekip'!$K$6:$O$29,4,FALSE)</f>
        <v>Valentina Dilica Valentinčič </v>
      </c>
    </row>
    <row r="22" spans="1:4" ht="15.75" customHeight="1">
      <c r="A22" s="155">
        <v>13</v>
      </c>
      <c r="B22" s="156" t="str">
        <f>IF(Rezultati!$G$35=Rezultati!$I$35,"13. mesto",IF(Rezultati!$G$35&lt;Rezultati!$I$35,Rezultati!$D$35,Rezultati!$F$35))</f>
        <v>Vesna Kondić Lubnik / Mina Krek</v>
      </c>
      <c r="C22" s="178" t="str">
        <f>VLOOKUP(Lestvica!B22,'Seznam ekip'!$K$6:$O$29,2,FALSE)</f>
        <v>Vesna Kondić Lubnik </v>
      </c>
      <c r="D22" s="179" t="str">
        <f>VLOOKUP(Lestvica!B22,'Seznam ekip'!$K$6:$O$29,4,FALSE)</f>
        <v>Mina Krek </v>
      </c>
    </row>
    <row r="23" spans="1:4" ht="15.75" customHeight="1">
      <c r="A23" s="155">
        <v>17</v>
      </c>
      <c r="B23" s="156" t="str">
        <f>IF(Rezultati!$G$27=Rezultati!$I$27,"17. mesto",IF(Rezultati!$G$27&gt;Rezultati!$I$27,Rezultati!$F$27,Rezultati!$D$27))</f>
        <v>Lea Ivančič / Ota Strojnik</v>
      </c>
      <c r="C23" s="178" t="str">
        <f>VLOOKUP(Lestvica!B23,'Seznam ekip'!$K$6:$O$29,2,FALSE)</f>
        <v>Lea Ivančič </v>
      </c>
      <c r="D23" s="179" t="str">
        <f>VLOOKUP(Lestvica!B23,'Seznam ekip'!$K$6:$O$29,4,FALSE)</f>
        <v>Ota Strojnik </v>
      </c>
    </row>
    <row r="24" spans="1:4" ht="15.75" customHeight="1">
      <c r="A24" s="155">
        <v>17</v>
      </c>
      <c r="B24" s="156" t="str">
        <f>IF(Rezultati!$G$26=Rezultati!$I$26,"17. mesto",IF(Rezultati!$G$26&gt;Rezultati!$I$26,Rezultati!$F$26,Rezultati!$D$26))</f>
        <v>Ekipa št.24</v>
      </c>
      <c r="C24" s="178" t="e">
        <f>VLOOKUP(Lestvica!B24,'Seznam ekip'!$K$6:$O$29,2,FALSE)</f>
        <v>#N/A</v>
      </c>
      <c r="D24" s="179" t="e">
        <f>VLOOKUP(Lestvica!B24,'Seznam ekip'!$K$6:$O$29,4,FALSE)</f>
        <v>#N/A</v>
      </c>
    </row>
    <row r="25" spans="1:4" ht="15.75" customHeight="1">
      <c r="A25" s="155">
        <v>17</v>
      </c>
      <c r="B25" s="156" t="str">
        <f>IF(Rezultati!$G$25=Rezultati!$I$25,"17. mesto",IF(Rezultati!$G$25&gt;Rezultati!$I$25,Rezultati!$F$25,Rezultati!$D$25))</f>
        <v>Maruša Hočevar Žužemberk / Maja Dovč</v>
      </c>
      <c r="C25" s="178" t="str">
        <f>VLOOKUP(Lestvica!B25,'Seznam ekip'!$K$6:$O$29,2,FALSE)</f>
        <v>Maruša Hočevar Žužemberk </v>
      </c>
      <c r="D25" s="179" t="str">
        <f>VLOOKUP(Lestvica!B25,'Seznam ekip'!$K$6:$O$29,4,FALSE)</f>
        <v>Maja Dovč </v>
      </c>
    </row>
    <row r="26" spans="1:4" ht="15.75" customHeight="1">
      <c r="A26" s="155">
        <v>17</v>
      </c>
      <c r="B26" s="156" t="str">
        <f>IF(Rezultati!$G$24=Rezultati!$I$24,"17. mesto",IF(Rezultati!$G$24&gt;Rezultati!$I$24,Rezultati!$F$24,Rezultati!$D$24))</f>
        <v>Pia Primožič Logatec / Nina Simončič</v>
      </c>
      <c r="C26" s="178" t="str">
        <f>VLOOKUP(Lestvica!B26,'Seznam ekip'!$K$6:$O$29,2,FALSE)</f>
        <v>Pia Primožič Logatec </v>
      </c>
      <c r="D26" s="179" t="str">
        <f>VLOOKUP(Lestvica!B26,'Seznam ekip'!$K$6:$O$29,4,FALSE)</f>
        <v>Nina Simončič </v>
      </c>
    </row>
    <row r="27" spans="1:4" ht="15.75" customHeight="1">
      <c r="A27" s="155">
        <v>17</v>
      </c>
      <c r="B27" s="156" t="str">
        <f>IF(Rezultati!$G$23=Rezultati!$I$23,"17. mesto",IF(Rezultati!$G$23&gt;Rezultati!$I$23,Rezultati!$F$23,Rezultati!$D$23))</f>
        <v>Neja Legan Žužemberk / Tia Kopač</v>
      </c>
      <c r="C27" s="178" t="str">
        <f>VLOOKUP(Lestvica!B27,'Seznam ekip'!$K$6:$O$29,2,FALSE)</f>
        <v>Neja Legan Žužemberk </v>
      </c>
      <c r="D27" s="179" t="str">
        <f>VLOOKUP(Lestvica!B27,'Seznam ekip'!$K$6:$O$29,4,FALSE)</f>
        <v>Tia Kopač </v>
      </c>
    </row>
    <row r="28" spans="1:4" ht="15.75" customHeight="1">
      <c r="A28" s="155">
        <v>17</v>
      </c>
      <c r="B28" s="156" t="str">
        <f>IF(Rezultati!$G$22=Rezultati!$I$22,"17. mesto",IF(Rezultati!$G$22&gt;Rezultati!$I$22,Rezultati!$F$22,Rezultati!$D$22))</f>
        <v>Ekipa št.22</v>
      </c>
      <c r="C28" s="178" t="e">
        <f>VLOOKUP(Lestvica!B28,'Seznam ekip'!$K$6:$O$29,2,FALSE)</f>
        <v>#N/A</v>
      </c>
      <c r="D28" s="179" t="e">
        <f>VLOOKUP(Lestvica!B28,'Seznam ekip'!$K$6:$O$29,4,FALSE)</f>
        <v>#N/A</v>
      </c>
    </row>
    <row r="29" spans="1:4" ht="15.75" customHeight="1">
      <c r="A29" s="155">
        <v>17</v>
      </c>
      <c r="B29" s="156" t="str">
        <f>IF(Rezultati!$G$21=Rezultati!$I$21,"17. mesto",IF(Rezultati!$G$21&gt;Rezultati!$I$21,Rezultati!$F$21,Rezultati!$D$21))</f>
        <v>Ekipa št.23</v>
      </c>
      <c r="C29" s="178" t="e">
        <f>VLOOKUP(Lestvica!B29,'Seznam ekip'!$K$6:$O$29,2,FALSE)</f>
        <v>#N/A</v>
      </c>
      <c r="D29" s="179" t="e">
        <f>VLOOKUP(Lestvica!B29,'Seznam ekip'!$K$6:$O$29,4,FALSE)</f>
        <v>#N/A</v>
      </c>
    </row>
    <row r="30" spans="1:4" ht="15.75" customHeight="1" thickBot="1">
      <c r="A30" s="159">
        <v>17</v>
      </c>
      <c r="B30" s="160" t="str">
        <f>IF(Rezultati!$G$20=Rezultati!$I$20,"17. mesto",IF(Rezultati!$G$20&gt;Rezultati!$I$20,Rezultati!$F$20,Rezultati!$D$20))</f>
        <v>Julija Četina / Iza Koren</v>
      </c>
      <c r="C30" s="180" t="str">
        <f>VLOOKUP(Lestvica!B30,'Seznam ekip'!$K$6:$O$29,2,FALSE)</f>
        <v>Julija Četina </v>
      </c>
      <c r="D30" s="181" t="str">
        <f>VLOOKUP(Lestvica!B30,'Seznam ekip'!$K$6:$O$29,4,FALSE)</f>
        <v>Iza Koren </v>
      </c>
    </row>
    <row r="31" spans="1:2" ht="12.75" thickTop="1">
      <c r="A31" s="43"/>
      <c r="B31" s="19"/>
    </row>
  </sheetData>
  <sheetProtection/>
  <mergeCells count="2">
    <mergeCell ref="A2:D2"/>
    <mergeCell ref="A4:D4"/>
  </mergeCells>
  <printOptions horizontalCentered="1"/>
  <pageMargins left="0.7480314960629921" right="0.7480314960629921" top="0.96" bottom="0.984251968503937" header="0.5118110236220472" footer="0.5118110236220472"/>
  <pageSetup orientation="portrait" paperSize="9" r:id="rId2"/>
  <headerFooter alignWithMargins="0">
    <oddHeader>&amp;C&amp;14Končni vrsti red</oddHeader>
    <oddFooter>&amp;R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6" sqref="H6:L16"/>
    </sheetView>
  </sheetViews>
  <sheetFormatPr defaultColWidth="9.140625" defaultRowHeight="12.75"/>
  <cols>
    <col min="1" max="1" width="4.57421875" style="0" customWidth="1"/>
    <col min="2" max="2" width="20.8515625" style="11" customWidth="1"/>
    <col min="3" max="3" width="11.57421875" style="0" customWidth="1"/>
    <col min="6" max="6" width="14.8515625" style="0" customWidth="1"/>
  </cols>
  <sheetData>
    <row r="1" spans="1:12" s="13" customFormat="1" ht="15">
      <c r="A1" s="237" t="str">
        <f>'Seznam ekip'!C1</f>
        <v>Državno prvenstvo U-16 dekleta Žužemberk - kval</v>
      </c>
      <c r="B1" s="237"/>
      <c r="C1" s="237"/>
      <c r="D1" s="237"/>
      <c r="E1" s="162"/>
      <c r="F1" s="163" t="str">
        <f>'Seznam ekip'!C3</f>
        <v>01.07.2023</v>
      </c>
      <c r="G1" s="162"/>
      <c r="H1" s="162"/>
      <c r="I1" s="162"/>
      <c r="J1" s="162"/>
      <c r="K1" s="162"/>
      <c r="L1" s="162"/>
    </row>
    <row r="2" spans="1:12" s="13" customFormat="1" ht="15">
      <c r="A2" s="161"/>
      <c r="B2" s="161"/>
      <c r="C2" s="20" t="str">
        <f>IF(F2="C",2,IF(F2="U18",2,IF(F2="U20",3,IF(F2="U23",3,IF(F2="B",4,IF(F2="A",5,IF(F2="D",1,"napaka")))))))</f>
        <v>napaka</v>
      </c>
      <c r="D2" s="161" t="s">
        <v>35</v>
      </c>
      <c r="E2" s="162"/>
      <c r="F2" s="161">
        <f>'Seznam ekip'!I1</f>
        <v>0</v>
      </c>
      <c r="G2" s="162"/>
      <c r="H2" s="162"/>
      <c r="I2" s="162"/>
      <c r="J2" s="162"/>
      <c r="K2" s="162"/>
      <c r="L2" s="162"/>
    </row>
    <row r="3" spans="1:12" s="13" customFormat="1" ht="15">
      <c r="A3" s="161"/>
      <c r="B3" s="161"/>
      <c r="C3" s="161"/>
      <c r="D3" s="161"/>
      <c r="E3" s="162"/>
      <c r="F3" s="161"/>
      <c r="G3" s="162"/>
      <c r="H3" s="162"/>
      <c r="I3" s="162"/>
      <c r="J3" s="162"/>
      <c r="K3" s="162"/>
      <c r="L3" s="162"/>
    </row>
    <row r="4" spans="1:12" ht="12">
      <c r="A4" s="19"/>
      <c r="B4" s="18"/>
      <c r="C4" s="19"/>
      <c r="D4" s="19"/>
      <c r="E4" s="19"/>
      <c r="F4" s="19"/>
      <c r="G4" s="164"/>
      <c r="H4" s="164"/>
      <c r="I4" s="165" t="s">
        <v>36</v>
      </c>
      <c r="J4" s="164"/>
      <c r="K4" s="164"/>
      <c r="L4" s="164"/>
    </row>
    <row r="5" spans="1:12" ht="12">
      <c r="A5" s="166" t="s">
        <v>32</v>
      </c>
      <c r="B5" s="18" t="e">
        <f>VLOOKUP(Lestvica!B7,'Seznam ekip'!$K$6:$O$29,2,FALSE)</f>
        <v>#N/A</v>
      </c>
      <c r="C5" s="167" t="e">
        <f>VLOOKUP(Lestvica!B7,'Seznam ekip'!$K$6:$O$29,3,FALSE)</f>
        <v>#N/A</v>
      </c>
      <c r="D5" s="19" t="str">
        <f>IF(C$2=1,H6,IF(C2=2,I6,IF(C2=3,J6,IF(C2=4,K6,IF(C2=5,L6,"napaka")))))</f>
        <v>napaka</v>
      </c>
      <c r="E5" s="19"/>
      <c r="F5" s="19"/>
      <c r="G5" s="165"/>
      <c r="H5" s="165" t="s">
        <v>68</v>
      </c>
      <c r="I5" s="165" t="s">
        <v>37</v>
      </c>
      <c r="J5" s="165" t="s">
        <v>38</v>
      </c>
      <c r="K5" s="165" t="s">
        <v>39</v>
      </c>
      <c r="L5" s="165" t="s">
        <v>40</v>
      </c>
    </row>
    <row r="6" spans="1:12" ht="12">
      <c r="A6" s="19"/>
      <c r="B6" s="18" t="e">
        <f>VLOOKUP(Lestvica!B7,'Seznam ekip'!$K$6:$O$29,4,FALSE)</f>
        <v>#N/A</v>
      </c>
      <c r="C6" s="167" t="e">
        <f>VLOOKUP(Lestvica!B7,'Seznam ekip'!$K$6:$O$29,5,FALSE)</f>
        <v>#N/A</v>
      </c>
      <c r="D6" s="19" t="str">
        <f>IF(C$2=1,H6,IF(C$2=2,I6,IF(C$2=3,J6,IF(C$2=4,K6,IF(C$2=5,L6,"napaka")))))</f>
        <v>napaka</v>
      </c>
      <c r="E6" s="19"/>
      <c r="F6" s="19"/>
      <c r="G6" s="168" t="s">
        <v>41</v>
      </c>
      <c r="H6" s="169"/>
      <c r="I6" s="170"/>
      <c r="J6" s="170"/>
      <c r="K6" s="170"/>
      <c r="L6" s="169"/>
    </row>
    <row r="7" spans="1:12" ht="12">
      <c r="A7" s="166" t="s">
        <v>33</v>
      </c>
      <c r="B7" s="18" t="e">
        <f>VLOOKUP(Lestvica!B8,'Seznam ekip'!$K$6:$O$29,2,FALSE)</f>
        <v>#N/A</v>
      </c>
      <c r="C7" s="167" t="e">
        <f>VLOOKUP(Lestvica!B8,'Seznam ekip'!$K$6:$O$29,3,FALSE)</f>
        <v>#N/A</v>
      </c>
      <c r="D7" s="19" t="str">
        <f>IF(C$2=1,H7,IF(C$2=2,I7,IF(C$2=3,J7,IF(C$2=4,K7,IF(C$2=5,L7,"napaka")))))</f>
        <v>napaka</v>
      </c>
      <c r="E7" s="19"/>
      <c r="F7" s="19"/>
      <c r="G7" s="168" t="s">
        <v>42</v>
      </c>
      <c r="H7" s="169"/>
      <c r="I7" s="170"/>
      <c r="J7" s="170"/>
      <c r="K7" s="170"/>
      <c r="L7" s="169"/>
    </row>
    <row r="8" spans="1:12" ht="12">
      <c r="A8" s="19"/>
      <c r="B8" s="18" t="e">
        <f>VLOOKUP(Lestvica!B8,'Seznam ekip'!$K$6:$O$29,4,FALSE)</f>
        <v>#N/A</v>
      </c>
      <c r="C8" s="167" t="e">
        <f>VLOOKUP(Lestvica!B8,'Seznam ekip'!$K$6:$O$29,5,FALSE)</f>
        <v>#N/A</v>
      </c>
      <c r="D8" s="19" t="str">
        <f>IF(C$2=1,H7,IF(C$2=2,I7,IF(C$2=3,J7,IF(C$2=4,K7,IF(C$2=5,L7,"napaka")))))</f>
        <v>napaka</v>
      </c>
      <c r="E8" s="19"/>
      <c r="F8" s="19"/>
      <c r="G8" s="168" t="s">
        <v>43</v>
      </c>
      <c r="H8" s="169"/>
      <c r="I8" s="170"/>
      <c r="J8" s="170"/>
      <c r="K8" s="170"/>
      <c r="L8" s="169"/>
    </row>
    <row r="9" spans="1:12" ht="12">
      <c r="A9" s="166" t="s">
        <v>34</v>
      </c>
      <c r="B9" s="18" t="e">
        <f>VLOOKUP(Lestvica!B9,'Seznam ekip'!$K$6:$O$29,2,FALSE)</f>
        <v>#N/A</v>
      </c>
      <c r="C9" s="167" t="e">
        <f>VLOOKUP(Lestvica!B9,'Seznam ekip'!$K$6:$O$29,3,FALSE)</f>
        <v>#N/A</v>
      </c>
      <c r="D9" s="19" t="str">
        <f>IF(C$2=1,H8,IF(C$2=2,I8,IF(C$2=3,J8,IF(C$2=4,K8,IF(C$2=5,L8,"napaka")))))</f>
        <v>napaka</v>
      </c>
      <c r="E9" s="19"/>
      <c r="F9" s="19"/>
      <c r="G9" s="168" t="s">
        <v>44</v>
      </c>
      <c r="H9" s="169"/>
      <c r="I9" s="170"/>
      <c r="J9" s="170"/>
      <c r="K9" s="170"/>
      <c r="L9" s="169"/>
    </row>
    <row r="10" spans="1:12" ht="12">
      <c r="A10" s="19"/>
      <c r="B10" s="18" t="e">
        <f>VLOOKUP(Lestvica!B9,'Seznam ekip'!$K$6:$O$29,4,FALSE)</f>
        <v>#N/A</v>
      </c>
      <c r="C10" s="167" t="e">
        <f>VLOOKUP(Lestvica!B9,'Seznam ekip'!$K$6:$O$29,5,FALSE)</f>
        <v>#N/A</v>
      </c>
      <c r="D10" s="19" t="str">
        <f>IF(C$2=1,H8,IF(C$2=2,I8,IF(C$2=3,J8,IF(C$2=4,K8,IF(C$2=5,L8,"napaka")))))</f>
        <v>napaka</v>
      </c>
      <c r="E10" s="19"/>
      <c r="F10" s="19"/>
      <c r="G10" s="168" t="s">
        <v>45</v>
      </c>
      <c r="H10" s="169"/>
      <c r="I10" s="170"/>
      <c r="J10" s="170"/>
      <c r="K10" s="170"/>
      <c r="L10" s="169"/>
    </row>
    <row r="11" spans="1:12" ht="12">
      <c r="A11" s="166" t="s">
        <v>52</v>
      </c>
      <c r="B11" s="18" t="e">
        <f>VLOOKUP(Lestvica!B10,'Seznam ekip'!$K$6:$O$29,2,FALSE)</f>
        <v>#N/A</v>
      </c>
      <c r="C11" s="167" t="e">
        <f>VLOOKUP(Lestvica!B10,'Seznam ekip'!$K$6:$O$29,3,FALSE)</f>
        <v>#N/A</v>
      </c>
      <c r="D11" s="19" t="str">
        <f>IF(C$2=1,H9,IF(C$2=2,I9,IF(C$2=3,J9,IF(C$2=4,K9,IF(C$2=5,L9,"napaka")))))</f>
        <v>napaka</v>
      </c>
      <c r="E11" s="19"/>
      <c r="F11" s="19"/>
      <c r="G11" s="168" t="s">
        <v>46</v>
      </c>
      <c r="H11" s="169"/>
      <c r="I11" s="170"/>
      <c r="J11" s="170"/>
      <c r="K11" s="170"/>
      <c r="L11" s="169"/>
    </row>
    <row r="12" spans="1:12" ht="12">
      <c r="A12" s="19"/>
      <c r="B12" s="18" t="e">
        <f>VLOOKUP(Lestvica!B10,'Seznam ekip'!$K$6:$O$29,4,FALSE)</f>
        <v>#N/A</v>
      </c>
      <c r="C12" s="167" t="e">
        <f>VLOOKUP(Lestvica!B10,'Seznam ekip'!$K$6:$O$29,5,FALSE)</f>
        <v>#N/A</v>
      </c>
      <c r="D12" s="19" t="str">
        <f>IF(C$2=1,H9,IF(C$2=2,I9,IF(C$2=3,J9,IF(C$2=4,K9,IF(C$2=5,L9,"napaka")))))</f>
        <v>napaka</v>
      </c>
      <c r="E12" s="19"/>
      <c r="F12" s="19"/>
      <c r="G12" s="168" t="s">
        <v>47</v>
      </c>
      <c r="H12" s="169"/>
      <c r="I12" s="170"/>
      <c r="J12" s="170"/>
      <c r="K12" s="170"/>
      <c r="L12" s="169"/>
    </row>
    <row r="13" spans="1:12" ht="12">
      <c r="A13" s="166" t="s">
        <v>53</v>
      </c>
      <c r="B13" s="18" t="str">
        <f>VLOOKUP(Lestvica!B11,'Seznam ekip'!$K$6:$O$29,2,FALSE)</f>
        <v>Sara Radunović Vital </v>
      </c>
      <c r="C13" s="167">
        <f>VLOOKUP(Lestvica!B11,'Seznam ekip'!$K$6:$O$29,3,FALSE)</f>
        <v>0</v>
      </c>
      <c r="D13" s="19" t="str">
        <f>IF(C$2=1,H10,IF(C$2=2,I10,IF(C$2=3,J10,IF(C$2=4,K10,IF(C$2=5,L10,"napaka")))))</f>
        <v>napaka</v>
      </c>
      <c r="E13" s="19"/>
      <c r="F13" s="19"/>
      <c r="G13" s="168" t="s">
        <v>48</v>
      </c>
      <c r="H13" s="169"/>
      <c r="I13" s="170"/>
      <c r="J13" s="170"/>
      <c r="K13" s="170"/>
      <c r="L13" s="169"/>
    </row>
    <row r="14" spans="1:12" ht="12">
      <c r="A14" s="19"/>
      <c r="B14" s="18" t="str">
        <f>VLOOKUP(Lestvica!B11,'Seznam ekip'!$K$6:$O$29,4,FALSE)</f>
        <v>Nina Debelak </v>
      </c>
      <c r="C14" s="167" t="str">
        <f>VLOOKUP(Lestvica!B11,'Seznam ekip'!$K$6:$O$29,5,FALSE)</f>
        <v>Vital</v>
      </c>
      <c r="D14" s="19" t="str">
        <f>IF(C$2=1,H10,IF(C$2=2,I10,IF(C$2=3,J10,IF(C$2=4,K10,IF(C$2=5,L10,"napaka")))))</f>
        <v>napaka</v>
      </c>
      <c r="E14" s="19"/>
      <c r="F14" s="19"/>
      <c r="G14" s="168" t="s">
        <v>49</v>
      </c>
      <c r="H14" s="168"/>
      <c r="I14" s="170"/>
      <c r="J14" s="170"/>
      <c r="K14" s="170"/>
      <c r="L14" s="169"/>
    </row>
    <row r="15" spans="1:12" ht="12">
      <c r="A15" s="19"/>
      <c r="B15" s="18" t="str">
        <f>VLOOKUP(Lestvica!B12,'Seznam ekip'!$K$6:$O$29,2,FALSE)</f>
        <v>Ajda Hribar Calcit </v>
      </c>
      <c r="C15" s="167">
        <f>VLOOKUP(Lestvica!B12,'Seznam ekip'!$K$6:$O$29,3,FALSE)</f>
        <v>0</v>
      </c>
      <c r="D15" s="19" t="str">
        <f>IF(C$2=1,H10,IF(C$2=2,I10,IF(C$2=3,J10,IF(C$2=4,K10,IF(C$2=5,L10,"napaka")))))</f>
        <v>napaka</v>
      </c>
      <c r="E15" s="19"/>
      <c r="F15" s="19"/>
      <c r="G15" s="168" t="s">
        <v>50</v>
      </c>
      <c r="H15" s="168"/>
      <c r="I15" s="170"/>
      <c r="J15" s="170"/>
      <c r="K15" s="170"/>
      <c r="L15" s="169"/>
    </row>
    <row r="16" spans="1:12" ht="12">
      <c r="A16" s="19"/>
      <c r="B16" s="18" t="str">
        <f>VLOOKUP(Lestvica!B12,'Seznam ekip'!$K$6:$O$29,4,FALSE)</f>
        <v>Eva Albič </v>
      </c>
      <c r="C16" s="167" t="str">
        <f>VLOOKUP(Lestvica!B12,'Seznam ekip'!$K$6:$O$29,5,FALSE)</f>
        <v>Calcit</v>
      </c>
      <c r="D16" s="19" t="str">
        <f>IF(C$2=1,H10,IF(C$2=2,I10,IF(C$2=3,J10,IF(C$2=4,K10,IF(C$2=5,L10,"napaka")))))</f>
        <v>napaka</v>
      </c>
      <c r="E16" s="19"/>
      <c r="F16" s="19"/>
      <c r="G16" s="168" t="s">
        <v>51</v>
      </c>
      <c r="H16" s="168"/>
      <c r="I16" s="170"/>
      <c r="J16" s="170"/>
      <c r="K16" s="170"/>
      <c r="L16" s="169"/>
    </row>
    <row r="17" spans="1:12" ht="12">
      <c r="A17" s="166" t="s">
        <v>54</v>
      </c>
      <c r="B17" s="18" t="str">
        <f>VLOOKUP(Lestvica!B13,'Seznam ekip'!$K$6:$O$29,2,FALSE)</f>
        <v>Neja Železnik Calcit </v>
      </c>
      <c r="C17" s="167">
        <f>VLOOKUP(Lestvica!B13,'Seznam ekip'!$K$6:$O$29,3,FALSE)</f>
        <v>0</v>
      </c>
      <c r="D17" s="19" t="str">
        <f>IF(C$2=1,H11,IF(C$2=2,I11,IF(C$2=3,J11,IF(C$2=4,K11,IF(C$2=5,L11,"napaka")))))</f>
        <v>napaka</v>
      </c>
      <c r="E17" s="19"/>
      <c r="F17" s="19"/>
      <c r="G17" s="171"/>
      <c r="H17" s="171"/>
      <c r="I17" s="171"/>
      <c r="J17" s="172"/>
      <c r="K17" s="173"/>
      <c r="L17" s="19"/>
    </row>
    <row r="18" spans="1:12" ht="12">
      <c r="A18" s="19"/>
      <c r="B18" s="18" t="str">
        <f>VLOOKUP(Lestvica!B13,'Seznam ekip'!$K$6:$O$29,4,FALSE)</f>
        <v>Lana Špetič </v>
      </c>
      <c r="C18" s="167">
        <f>VLOOKUP(Lestvica!B13,'Seznam ekip'!$K$6:$O$29,5,FALSE)</f>
        <v>0</v>
      </c>
      <c r="D18" s="19" t="str">
        <f>IF(C$2=1,H11,IF(C$2=2,I11,IF(C$2=3,J11,IF(C$2=4,K11,IF(C$2=5,L11,"napaka")))))</f>
        <v>napaka</v>
      </c>
      <c r="E18" s="19"/>
      <c r="F18" s="19"/>
      <c r="G18" s="173"/>
      <c r="H18" s="173"/>
      <c r="I18" s="173"/>
      <c r="J18" s="173"/>
      <c r="K18" s="173"/>
      <c r="L18" s="19"/>
    </row>
    <row r="19" spans="1:12" ht="12">
      <c r="A19" s="19"/>
      <c r="B19" s="18" t="str">
        <f>VLOOKUP(Lestvica!B14,'Seznam ekip'!$K$6:$O$29,2,FALSE)</f>
        <v>Neja Potočnik Lubnik </v>
      </c>
      <c r="C19" s="167">
        <f>VLOOKUP(Lestvica!B14,'Seznam ekip'!$K$6:$O$29,3,FALSE)</f>
        <v>0</v>
      </c>
      <c r="D19" s="19" t="str">
        <f>IF(C$2=1,H11,IF(C$2=2,I11,IF(C$2=3,J11,IF(C$2=4,K11,IF(C$2=5,L11,"napaka")))))</f>
        <v>napaka</v>
      </c>
      <c r="E19" s="19"/>
      <c r="F19" s="19"/>
      <c r="G19" s="173"/>
      <c r="H19" s="173"/>
      <c r="I19" s="173"/>
      <c r="J19" s="173"/>
      <c r="K19" s="173"/>
      <c r="L19" s="19"/>
    </row>
    <row r="20" spans="1:12" ht="12">
      <c r="A20" s="19"/>
      <c r="B20" s="18" t="str">
        <f>VLOOKUP(Lestvica!B14,'Seznam ekip'!$K$6:$O$29,4,FALSE)</f>
        <v>Lia Pipp </v>
      </c>
      <c r="C20" s="167">
        <f>VLOOKUP(Lestvica!B14,'Seznam ekip'!$K$6:$O$29,5,FALSE)</f>
        <v>0</v>
      </c>
      <c r="D20" s="19" t="str">
        <f>IF(C$2=1,H11,IF(C$2=2,I11,IF(C$2=3,J11,IF(C$2=4,K11,IF(C$2=5,L11,"napaka")))))</f>
        <v>napaka</v>
      </c>
      <c r="E20" s="19"/>
      <c r="F20" s="19"/>
      <c r="G20" s="173"/>
      <c r="H20" s="173"/>
      <c r="I20" s="173"/>
      <c r="J20" s="173"/>
      <c r="K20" s="173"/>
      <c r="L20" s="19"/>
    </row>
    <row r="21" spans="1:12" ht="12">
      <c r="A21" s="166" t="s">
        <v>55</v>
      </c>
      <c r="B21" s="18" t="str">
        <f>VLOOKUP(Lestvica!B15,'Seznam ekip'!$K$6:$O$29,2,FALSE)</f>
        <v>Katerina Đokić Calcit </v>
      </c>
      <c r="C21" s="167">
        <f>VLOOKUP(Lestvica!B15,'Seznam ekip'!$K$6:$O$29,3,FALSE)</f>
        <v>0</v>
      </c>
      <c r="D21" s="19" t="str">
        <f>IF(C$2=1,H12,IF(C$2=2,I12,IF(C$2=3,J12,IF(C$2=4,K12,IF(C$2=5,L12,"napaka")))))</f>
        <v>napaka</v>
      </c>
      <c r="E21" s="19"/>
      <c r="F21" s="19"/>
      <c r="G21" s="19"/>
      <c r="H21" s="19"/>
      <c r="I21" s="19"/>
      <c r="J21" s="19"/>
      <c r="K21" s="19"/>
      <c r="L21" s="19"/>
    </row>
    <row r="22" spans="1:12" ht="12">
      <c r="A22" s="19"/>
      <c r="B22" s="18" t="str">
        <f>VLOOKUP(Lestvica!B15,'Seznam ekip'!$K$6:$O$29,4,FALSE)</f>
        <v>Lea Vidmar </v>
      </c>
      <c r="C22" s="167" t="str">
        <f>VLOOKUP(Lestvica!B15,'Seznam ekip'!$K$6:$O$29,5,FALSE)</f>
        <v>Calcit</v>
      </c>
      <c r="D22" s="19" t="str">
        <f>IF(C$2=1,H12,IF(C$2=2,I12,IF(C$2=3,J12,IF(C$2=4,K12,IF(C$2=5,L12,"napaka")))))</f>
        <v>napaka</v>
      </c>
      <c r="E22" s="19"/>
      <c r="F22" s="19"/>
      <c r="G22" s="19"/>
      <c r="H22" s="19"/>
      <c r="I22" s="19"/>
      <c r="J22" s="19"/>
      <c r="K22" s="19"/>
      <c r="L22" s="19"/>
    </row>
    <row r="23" spans="1:12" ht="12">
      <c r="A23" s="19"/>
      <c r="B23" s="18" t="str">
        <f>VLOOKUP(Lestvica!B16,'Seznam ekip'!$K$6:$O$29,2,FALSE)</f>
        <v>Lara Goršič Lubnik </v>
      </c>
      <c r="C23" s="167">
        <f>VLOOKUP(Lestvica!B16,'Seznam ekip'!$K$6:$O$29,3,FALSE)</f>
        <v>0</v>
      </c>
      <c r="D23" s="19" t="str">
        <f>IF(C$2=1,H12,IF(C$2=2,I12,IF(C$2=3,J12,IF(C$2=4,K12,IF(C$2=5,L12,"napaka")))))</f>
        <v>napaka</v>
      </c>
      <c r="E23" s="19"/>
      <c r="F23" s="19"/>
      <c r="G23" s="19"/>
      <c r="H23" s="19"/>
      <c r="I23" s="19"/>
      <c r="J23" s="19"/>
      <c r="K23" s="19"/>
      <c r="L23" s="19"/>
    </row>
    <row r="24" spans="1:12" ht="12">
      <c r="A24" s="19"/>
      <c r="B24" s="18" t="str">
        <f>VLOOKUP(Lestvica!B16,'Seznam ekip'!$K$6:$O$29,4,FALSE)</f>
        <v>Nina Šifrar </v>
      </c>
      <c r="C24" s="167" t="str">
        <f>VLOOKUP(Lestvica!B16,'Seznam ekip'!$K$6:$O$29,5,FALSE)</f>
        <v>Lubnik</v>
      </c>
      <c r="D24" s="19" t="str">
        <f>IF(C$2=1,H12,IF(C$2=2,I12,IF(C$2=3,J12,IF(C$2=4,K12,IF(C$2=5,L12,"napaka")))))</f>
        <v>napaka</v>
      </c>
      <c r="E24" s="19"/>
      <c r="F24" s="19"/>
      <c r="G24" s="19"/>
      <c r="H24" s="19"/>
      <c r="I24" s="19"/>
      <c r="J24" s="19"/>
      <c r="K24" s="19"/>
      <c r="L24" s="19"/>
    </row>
    <row r="25" spans="1:12" ht="12">
      <c r="A25" s="19"/>
      <c r="B25" s="18" t="str">
        <f>VLOOKUP(Lestvica!B17,'Seznam ekip'!$K$6:$O$29,2,FALSE)</f>
        <v>Katjuša Plot Žužemberk </v>
      </c>
      <c r="C25" s="167">
        <f>VLOOKUP(Lestvica!B17,'Seznam ekip'!$K$6:$O$29,3,FALSE)</f>
        <v>0</v>
      </c>
      <c r="D25" s="19" t="str">
        <f>IF(C$2=1,H12,IF(C$2=2,I12,IF(C$2=3,J12,IF(C$2=4,K12,IF(C$2=5,L12,"napaka")))))</f>
        <v>napaka</v>
      </c>
      <c r="E25" s="19"/>
      <c r="F25" s="19"/>
      <c r="G25" s="19"/>
      <c r="H25" s="19"/>
      <c r="I25" s="19"/>
      <c r="J25" s="19"/>
      <c r="K25" s="19"/>
      <c r="L25" s="19"/>
    </row>
    <row r="26" spans="1:12" ht="12">
      <c r="A26" s="19"/>
      <c r="B26" s="18" t="str">
        <f>VLOOKUP(Lestvica!B17,'Seznam ekip'!$K$6:$O$29,4,FALSE)</f>
        <v>Neža Novak </v>
      </c>
      <c r="C26" s="167">
        <f>VLOOKUP(Lestvica!B17,'Seznam ekip'!$K$6:$O$29,5,FALSE)</f>
        <v>0</v>
      </c>
      <c r="D26" s="19" t="str">
        <f>IF(C$2=1,H12,IF(C$2=2,I12,IF(C$2=3,J12,IF(C$2=4,K12,IF(C$2=5,L12,"napaka")))))</f>
        <v>napaka</v>
      </c>
      <c r="E26" s="19"/>
      <c r="F26" s="19"/>
      <c r="G26" s="19"/>
      <c r="H26" s="19"/>
      <c r="I26" s="19"/>
      <c r="J26" s="19"/>
      <c r="K26" s="19"/>
      <c r="L26" s="19"/>
    </row>
    <row r="27" spans="1:12" ht="12">
      <c r="A27" s="19"/>
      <c r="B27" s="18" t="str">
        <f>VLOOKUP(Lestvica!B18,'Seznam ekip'!$K$6:$O$29,2,FALSE)</f>
        <v>Lea Žnidaršič Ok Logatec </v>
      </c>
      <c r="C27" s="167">
        <f>VLOOKUP(Lestvica!B18,'Seznam ekip'!$K$6:$O$29,3,FALSE)</f>
        <v>0</v>
      </c>
      <c r="D27" s="19" t="str">
        <f>IF(C$2=1,H12,IF(C$2=2,I12,IF(C$2=3,J12,IF(C$2=4,K12,IF(C$2=5,L12,"napaka")))))</f>
        <v>napaka</v>
      </c>
      <c r="E27" s="19"/>
      <c r="F27" s="19"/>
      <c r="G27" s="19"/>
      <c r="H27" s="19"/>
      <c r="I27" s="19"/>
      <c r="J27" s="19"/>
      <c r="K27" s="19"/>
      <c r="L27" s="19"/>
    </row>
    <row r="28" spans="1:12" ht="12">
      <c r="A28" s="19"/>
      <c r="B28" s="18" t="str">
        <f>VLOOKUP(Lestvica!B18,'Seznam ekip'!$K$6:$O$29,4,FALSE)</f>
        <v>Tinkara Nagode </v>
      </c>
      <c r="C28" s="167">
        <f>VLOOKUP(Lestvica!B18,'Seznam ekip'!$K$6:$O$29,5,FALSE)</f>
        <v>0</v>
      </c>
      <c r="D28" s="19" t="str">
        <f>IF(C$2=1,H12,IF(C$2=2,I12,IF(C$2=3,J12,IF(C$2=4,K12,IF(C$2=5,L12,"napaka")))))</f>
        <v>napaka</v>
      </c>
      <c r="E28" s="19"/>
      <c r="F28" s="19"/>
      <c r="G28" s="19"/>
      <c r="H28" s="19"/>
      <c r="I28" s="19"/>
      <c r="J28" s="19"/>
      <c r="K28" s="19"/>
      <c r="L28" s="19"/>
    </row>
    <row r="29" spans="1:12" ht="12">
      <c r="A29" s="166" t="s">
        <v>56</v>
      </c>
      <c r="B29" s="18" t="str">
        <f>VLOOKUP(Lestvica!B19,'Seznam ekip'!$K$6:$O$29,2,FALSE)</f>
        <v>Maša Menard ok Logatec </v>
      </c>
      <c r="C29" s="167">
        <f>VLOOKUP(Lestvica!B19,'Seznam ekip'!$K$6:$O$29,3,FALSE)</f>
        <v>0</v>
      </c>
      <c r="D29" s="19" t="str">
        <f>IF(C$2=1,H13,IF(C$2=2,I13,IF(C$2=3,J13,IF(C$2=4,K13,IF(C$2=5,L13,"napaka")))))</f>
        <v>napaka</v>
      </c>
      <c r="E29" s="19"/>
      <c r="F29" s="19"/>
      <c r="G29" s="19"/>
      <c r="H29" s="19"/>
      <c r="I29" s="19"/>
      <c r="J29" s="19"/>
      <c r="K29" s="19"/>
      <c r="L29" s="19"/>
    </row>
    <row r="30" spans="1:12" ht="12">
      <c r="A30" s="19"/>
      <c r="B30" s="18" t="str">
        <f>VLOOKUP(Lestvica!B19,'Seznam ekip'!$K$6:$O$29,4,FALSE)</f>
        <v>Zoja Petelin </v>
      </c>
      <c r="C30" s="167">
        <f>VLOOKUP(Lestvica!B19,'Seznam ekip'!$K$6:$O$29,5,FALSE)</f>
        <v>0</v>
      </c>
      <c r="D30" s="19" t="str">
        <f>IF(C$2=1,H13,IF(C$2=2,I13,IF(C$2=3,J13,IF(C$2=4,K13,IF(C$2=5,L13,"napaka")))))</f>
        <v>napaka</v>
      </c>
      <c r="E30" s="19"/>
      <c r="F30" s="19"/>
      <c r="G30" s="19"/>
      <c r="H30" s="19"/>
      <c r="I30" s="19"/>
      <c r="J30" s="19"/>
      <c r="K30" s="19"/>
      <c r="L30" s="19"/>
    </row>
    <row r="31" spans="1:12" ht="12">
      <c r="A31" s="19"/>
      <c r="B31" s="18" t="str">
        <f>VLOOKUP(Lestvica!B20,'Seznam ekip'!$K$6:$O$29,2,FALSE)</f>
        <v>Zara Nahtigal Lavrič Žužemberk </v>
      </c>
      <c r="C31" s="167">
        <f>VLOOKUP(Lestvica!B20,'Seznam ekip'!$K$6:$O$29,3,FALSE)</f>
        <v>0</v>
      </c>
      <c r="D31" s="19" t="str">
        <f>IF(C$2=1,H13,IF(C$2=2,I13,IF(C$2=3,J13,IF(C$2=4,K13,IF(C$2=5,L13,"napaka")))))</f>
        <v>napaka</v>
      </c>
      <c r="E31" s="19"/>
      <c r="F31" s="19"/>
      <c r="G31" s="19"/>
      <c r="H31" s="19"/>
      <c r="I31" s="19"/>
      <c r="J31" s="19"/>
      <c r="K31" s="19"/>
      <c r="L31" s="19"/>
    </row>
    <row r="32" spans="1:12" ht="12">
      <c r="A32" s="19"/>
      <c r="B32" s="18" t="str">
        <f>VLOOKUP(Lestvica!B20,'Seznam ekip'!$K$6:$O$29,4,FALSE)</f>
        <v>Ana Štravs </v>
      </c>
      <c r="C32" s="167">
        <f>VLOOKUP(Lestvica!B20,'Seznam ekip'!$K$6:$O$29,5,FALSE)</f>
        <v>0</v>
      </c>
      <c r="D32" s="19" t="str">
        <f>IF(C$2=1,H13,IF(C$2=2,I13,IF(C$2=3,J13,IF(C$2=4,K13,IF(C$2=5,L13,"napaka")))))</f>
        <v>napaka</v>
      </c>
      <c r="E32" s="19"/>
      <c r="F32" s="19"/>
      <c r="G32" s="19"/>
      <c r="H32" s="19"/>
      <c r="I32" s="19"/>
      <c r="J32" s="19"/>
      <c r="K32" s="19"/>
      <c r="L32" s="19"/>
    </row>
    <row r="33" spans="1:12" ht="12">
      <c r="A33" s="19"/>
      <c r="B33" s="18" t="str">
        <f>VLOOKUP(Lestvica!B21,'Seznam ekip'!$K$6:$O$29,2,FALSE)</f>
        <v>Živa Bastjančič  vc Portorož </v>
      </c>
      <c r="C33" s="167">
        <f>VLOOKUP(Lestvica!B21,'Seznam ekip'!$K$6:$O$29,3,FALSE)</f>
        <v>0</v>
      </c>
      <c r="D33" s="19" t="str">
        <f>IF(C$2=1,H13,IF(C$2=2,I13,IF(C$2=3,J13,IF(C$2=4,K13,IF(C$2=5,L13,"napaka")))))</f>
        <v>napaka</v>
      </c>
      <c r="E33" s="19"/>
      <c r="F33" s="19"/>
      <c r="G33" s="19"/>
      <c r="H33" s="19"/>
      <c r="I33" s="19"/>
      <c r="J33" s="19"/>
      <c r="K33" s="19"/>
      <c r="L33" s="19"/>
    </row>
    <row r="34" spans="1:12" ht="12">
      <c r="A34" s="19"/>
      <c r="B34" s="18" t="str">
        <f>VLOOKUP(Lestvica!B21,'Seznam ekip'!$K$6:$O$29,4,FALSE)</f>
        <v>Valentina Dilica Valentinčič </v>
      </c>
      <c r="C34" s="167">
        <f>VLOOKUP(Lestvica!B21,'Seznam ekip'!$K$6:$O$29,5,FALSE)</f>
        <v>0</v>
      </c>
      <c r="D34" s="19" t="str">
        <f>IF(C$2=1,H13,IF(C$2=2,I13,IF(C$2=3,J13,IF(C$2=4,K13,IF(C$2=5,L13,"napaka")))))</f>
        <v>napaka</v>
      </c>
      <c r="E34" s="19"/>
      <c r="F34" s="19"/>
      <c r="G34" s="19"/>
      <c r="H34" s="19"/>
      <c r="I34" s="19"/>
      <c r="J34" s="19"/>
      <c r="K34" s="19"/>
      <c r="L34" s="19"/>
    </row>
    <row r="35" spans="1:12" ht="12">
      <c r="A35" s="19"/>
      <c r="B35" s="18" t="str">
        <f>VLOOKUP(Lestvica!B22,'Seznam ekip'!$K$6:$O$29,2,FALSE)</f>
        <v>Vesna Kondić Lubnik </v>
      </c>
      <c r="C35" s="167">
        <f>VLOOKUP(Lestvica!B22,'Seznam ekip'!$K$6:$O$29,3,FALSE)</f>
        <v>0</v>
      </c>
      <c r="D35" s="19" t="str">
        <f>IF(C$2=1,H13,IF(C$2=2,I13,IF(C$2=3,J13,IF(C$2=4,K13,IF(C$2=5,L13,"napaka")))))</f>
        <v>napaka</v>
      </c>
      <c r="E35" s="19"/>
      <c r="F35" s="19"/>
      <c r="G35" s="19"/>
      <c r="H35" s="19"/>
      <c r="I35" s="19"/>
      <c r="J35" s="19"/>
      <c r="K35" s="19"/>
      <c r="L35" s="19"/>
    </row>
    <row r="36" spans="1:12" ht="12">
      <c r="A36" s="19"/>
      <c r="B36" s="18" t="str">
        <f>VLOOKUP(Lestvica!B22,'Seznam ekip'!$K$6:$O$29,4,FALSE)</f>
        <v>Mina Krek </v>
      </c>
      <c r="C36" s="167" t="str">
        <f>VLOOKUP(Lestvica!B22,'Seznam ekip'!$K$6:$O$29,5,FALSE)</f>
        <v>Lubnik</v>
      </c>
      <c r="D36" s="19" t="str">
        <f>IF(C$2=1,H13,IF(C$2=2,I13,IF(C$2=3,J13,IF(C$2=4,K13,IF(C$2=5,L13,"napaka")))))</f>
        <v>napaka</v>
      </c>
      <c r="E36" s="19"/>
      <c r="F36" s="19"/>
      <c r="G36" s="19"/>
      <c r="H36" s="19"/>
      <c r="I36" s="19"/>
      <c r="J36" s="19"/>
      <c r="K36" s="19"/>
      <c r="L36" s="19"/>
    </row>
    <row r="37" spans="1:12" ht="12">
      <c r="A37" s="166" t="s">
        <v>57</v>
      </c>
      <c r="B37" s="18" t="str">
        <f>VLOOKUP(Lestvica!B23,'Seznam ekip'!$K$6:$O$29,2,FALSE)</f>
        <v>Lea Ivančič </v>
      </c>
      <c r="C37" s="167">
        <f>VLOOKUP(Lestvica!B23,'Seznam ekip'!$K$6:$O$29,3,FALSE)</f>
        <v>0</v>
      </c>
      <c r="D37" s="19" t="str">
        <f>IF(C$2=1,H14,IF(C$2=2,I14,IF(C$2=3,J14,IF(C$2=4,K14,IF(C$2=5,L14,"napaka")))))</f>
        <v>napaka</v>
      </c>
      <c r="E37" s="19"/>
      <c r="F37" s="19"/>
      <c r="G37" s="19"/>
      <c r="H37" s="19"/>
      <c r="I37" s="19"/>
      <c r="J37" s="19"/>
      <c r="K37" s="19"/>
      <c r="L37" s="19"/>
    </row>
    <row r="38" spans="1:12" ht="12">
      <c r="A38" s="19"/>
      <c r="B38" s="18" t="str">
        <f>VLOOKUP(Lestvica!B23,'Seznam ekip'!$K$6:$O$29,4,FALSE)</f>
        <v>Ota Strojnik </v>
      </c>
      <c r="C38" s="167">
        <f>VLOOKUP(Lestvica!B23,'Seznam ekip'!$K$6:$O$29,5,FALSE)</f>
        <v>0</v>
      </c>
      <c r="D38" s="19" t="str">
        <f>IF(C$2=1,H14,IF(C$2=2,I14,IF(C$2=3,J14,IF(C$2=4,K14,IF(C$2=5,L14,"napaka")))))</f>
        <v>napaka</v>
      </c>
      <c r="E38" s="19"/>
      <c r="F38" s="19"/>
      <c r="G38" s="19"/>
      <c r="H38" s="19"/>
      <c r="I38" s="19"/>
      <c r="J38" s="19"/>
      <c r="K38" s="19"/>
      <c r="L38" s="19"/>
    </row>
    <row r="39" spans="1:12" ht="12">
      <c r="A39" s="19"/>
      <c r="B39" s="18" t="e">
        <f>VLOOKUP(Lestvica!B24,'Seznam ekip'!$K$6:$O$29,2,FALSE)</f>
        <v>#N/A</v>
      </c>
      <c r="C39" s="167" t="e">
        <f>VLOOKUP(Lestvica!B24,'Seznam ekip'!$K$6:$O$29,3,FALSE)</f>
        <v>#N/A</v>
      </c>
      <c r="D39" s="19" t="str">
        <f>IF(C$2=1,H14,IF(C$2=2,I14,IF(C$2=3,J14,IF(C$2=4,K14,IF(C$2=5,L14,"napaka")))))</f>
        <v>napaka</v>
      </c>
      <c r="E39" s="19"/>
      <c r="F39" s="19"/>
      <c r="G39" s="19"/>
      <c r="H39" s="19"/>
      <c r="I39" s="19"/>
      <c r="J39" s="19"/>
      <c r="K39" s="19"/>
      <c r="L39" s="19"/>
    </row>
    <row r="40" spans="1:12" ht="12">
      <c r="A40" s="19"/>
      <c r="B40" s="18" t="e">
        <f>VLOOKUP(Lestvica!B24,'Seznam ekip'!$K$6:$O$29,4,FALSE)</f>
        <v>#N/A</v>
      </c>
      <c r="C40" s="167" t="e">
        <f>VLOOKUP(Lestvica!B24,'Seznam ekip'!$K$6:$O$29,5,FALSE)</f>
        <v>#N/A</v>
      </c>
      <c r="D40" s="19" t="str">
        <f>IF(C$2=1,H14,IF(C$2=2,I14,IF(C$2=3,J14,IF(C$2=4,K14,IF(C$2=5,L14,"napaka")))))</f>
        <v>napaka</v>
      </c>
      <c r="E40" s="19"/>
      <c r="F40" s="19"/>
      <c r="G40" s="19"/>
      <c r="H40" s="19"/>
      <c r="I40" s="19"/>
      <c r="J40" s="19"/>
      <c r="K40" s="19"/>
      <c r="L40" s="19"/>
    </row>
    <row r="41" spans="1:12" ht="12">
      <c r="A41" s="19"/>
      <c r="B41" s="18" t="str">
        <f>VLOOKUP(Lestvica!B25,'Seznam ekip'!$K$6:$O$29,2,FALSE)</f>
        <v>Maruša Hočevar Žužemberk </v>
      </c>
      <c r="C41" s="167">
        <f>VLOOKUP(Lestvica!B25,'Seznam ekip'!$K$6:$O$29,3,FALSE)</f>
        <v>0</v>
      </c>
      <c r="D41" s="19" t="str">
        <f>IF(C$2=1,H14,IF(C$2=2,I14,IF(C$2=3,J14,IF(C$2=4,K14,IF(C$2=5,L14,"napaka")))))</f>
        <v>napaka</v>
      </c>
      <c r="E41" s="19"/>
      <c r="F41" s="19"/>
      <c r="G41" s="19"/>
      <c r="H41" s="19"/>
      <c r="I41" s="19"/>
      <c r="J41" s="19"/>
      <c r="K41" s="19"/>
      <c r="L41" s="19"/>
    </row>
    <row r="42" spans="1:12" ht="12">
      <c r="A42" s="19"/>
      <c r="B42" s="18" t="str">
        <f>VLOOKUP(Lestvica!B25,'Seznam ekip'!$K$6:$O$29,4,FALSE)</f>
        <v>Maja Dovč </v>
      </c>
      <c r="C42" s="167">
        <f>VLOOKUP(Lestvica!B25,'Seznam ekip'!$K$6:$O$29,5,FALSE)</f>
        <v>0</v>
      </c>
      <c r="D42" s="19" t="str">
        <f>IF(C$2=1,H14,IF(C$2=2,I14,IF(C$2=3,J14,IF(C$2=4,K14,IF(C$2=5,L14,"napaka")))))</f>
        <v>napaka</v>
      </c>
      <c r="E42" s="19"/>
      <c r="F42" s="19"/>
      <c r="G42" s="19"/>
      <c r="H42" s="19"/>
      <c r="I42" s="19"/>
      <c r="J42" s="19"/>
      <c r="K42" s="19"/>
      <c r="L42" s="19"/>
    </row>
    <row r="43" spans="1:12" ht="12">
      <c r="A43" s="19"/>
      <c r="B43" s="18" t="str">
        <f>VLOOKUP(Lestvica!B26,'Seznam ekip'!$K$6:$O$29,2,FALSE)</f>
        <v>Pia Primožič Logatec </v>
      </c>
      <c r="C43" s="167">
        <f>VLOOKUP(Lestvica!B26,'Seznam ekip'!$K$6:$O$29,3,FALSE)</f>
        <v>0</v>
      </c>
      <c r="D43" s="19" t="str">
        <f>IF(C$2=1,H14,IF(C$2=2,I14,IF(C$2=3,J14,IF(C$2=4,K14,IF(C$2=5,L14,"napaka")))))</f>
        <v>napaka</v>
      </c>
      <c r="E43" s="19"/>
      <c r="F43" s="19"/>
      <c r="G43" s="19"/>
      <c r="H43" s="19"/>
      <c r="I43" s="19"/>
      <c r="J43" s="19"/>
      <c r="K43" s="19"/>
      <c r="L43" s="19"/>
    </row>
    <row r="44" spans="1:12" ht="12">
      <c r="A44" s="19"/>
      <c r="B44" s="18" t="str">
        <f>VLOOKUP(Lestvica!B26,'Seznam ekip'!$K$6:$O$29,4,FALSE)</f>
        <v>Nina Simončič </v>
      </c>
      <c r="C44" s="167">
        <f>VLOOKUP(Lestvica!B26,'Seznam ekip'!$K$6:$O$29,5,FALSE)</f>
        <v>0</v>
      </c>
      <c r="D44" s="19" t="str">
        <f>IF(C$2=1,H14,IF(C$2=2,I14,IF(C$2=3,J14,IF(C$2=4,K14,IF(C$2=5,L14,"napaka")))))</f>
        <v>napaka</v>
      </c>
      <c r="E44" s="19"/>
      <c r="F44" s="19"/>
      <c r="G44" s="19"/>
      <c r="H44" s="19"/>
      <c r="I44" s="19"/>
      <c r="J44" s="19"/>
      <c r="K44" s="19"/>
      <c r="L44" s="19"/>
    </row>
    <row r="45" spans="1:12" ht="12">
      <c r="A45" s="19"/>
      <c r="B45" s="18" t="str">
        <f>VLOOKUP(Lestvica!B27,'Seznam ekip'!$K$6:$O$29,2,FALSE)</f>
        <v>Neja Legan Žužemberk </v>
      </c>
      <c r="C45" s="167">
        <f>VLOOKUP(Lestvica!B27,'Seznam ekip'!$K$6:$O$29,3,FALSE)</f>
        <v>0</v>
      </c>
      <c r="D45" s="166" t="str">
        <f>IF(C$2=1,H14,IF(C$2=2,I14,IF(C$2=3,J14,IF(C$2=4,K14,IF(C$2=5,L14,"napaka")))))</f>
        <v>napaka</v>
      </c>
      <c r="E45" s="19"/>
      <c r="F45" s="19"/>
      <c r="G45" s="19"/>
      <c r="H45" s="19"/>
      <c r="I45" s="19"/>
      <c r="J45" s="19"/>
      <c r="K45" s="19"/>
      <c r="L45" s="19"/>
    </row>
    <row r="46" spans="1:12" ht="12">
      <c r="A46" s="19"/>
      <c r="B46" s="18" t="str">
        <f>VLOOKUP(Lestvica!B27,'Seznam ekip'!$K$6:$O$29,4,FALSE)</f>
        <v>Tia Kopač </v>
      </c>
      <c r="C46" s="167">
        <f>VLOOKUP(Lestvica!B27,'Seznam ekip'!$K$6:$O$29,5,FALSE)</f>
        <v>0</v>
      </c>
      <c r="D46" s="19" t="str">
        <f>IF(C$2=1,H14,IF(C$2=2,I14,IF(C$2=3,J14,IF(C$2=4,K14,IF(C$2=5,L14,"napaka")))))</f>
        <v>napaka</v>
      </c>
      <c r="E46" s="19"/>
      <c r="F46" s="19"/>
      <c r="G46" s="19"/>
      <c r="H46" s="19"/>
      <c r="I46" s="19"/>
      <c r="J46" s="19"/>
      <c r="K46" s="19"/>
      <c r="L46" s="19"/>
    </row>
    <row r="47" spans="1:12" ht="12">
      <c r="A47" s="19"/>
      <c r="B47" s="18" t="e">
        <f>VLOOKUP(Lestvica!B28,'Seznam ekip'!$K$6:$O$29,2,FALSE)</f>
        <v>#N/A</v>
      </c>
      <c r="C47" s="167" t="e">
        <f>VLOOKUP(Lestvica!B28,'Seznam ekip'!$K$6:$O$29,3,FALSE)</f>
        <v>#N/A</v>
      </c>
      <c r="D47" s="19" t="str">
        <f>IF(C$2=1,H14,IF(C$2=2,I14,IF(C$2=3,J14,IF(C$2=4,K14,IF(C$2=5,L14,"napaka")))))</f>
        <v>napaka</v>
      </c>
      <c r="E47" s="19"/>
      <c r="F47" s="19"/>
      <c r="G47" s="19"/>
      <c r="H47" s="19"/>
      <c r="I47" s="19"/>
      <c r="J47" s="19"/>
      <c r="K47" s="19"/>
      <c r="L47" s="19"/>
    </row>
    <row r="48" spans="1:12" ht="12">
      <c r="A48" s="19"/>
      <c r="B48" s="18" t="e">
        <f>VLOOKUP(Lestvica!B28,'Seznam ekip'!$K$6:$O$29,4,FALSE)</f>
        <v>#N/A</v>
      </c>
      <c r="C48" s="167" t="e">
        <f>VLOOKUP(Lestvica!B28,'Seznam ekip'!$K$6:$O$29,5,FALSE)</f>
        <v>#N/A</v>
      </c>
      <c r="D48" s="19" t="str">
        <f>IF(C$2=1,H14,IF(C$2=2,I14,IF(C$2=3,J14,IF(C$2=4,K14,IF(C$2=5,L14,"napaka")))))</f>
        <v>napaka</v>
      </c>
      <c r="E48" s="19"/>
      <c r="F48" s="19"/>
      <c r="G48" s="19"/>
      <c r="H48" s="19"/>
      <c r="I48" s="19"/>
      <c r="J48" s="19"/>
      <c r="K48" s="19"/>
      <c r="L48" s="19"/>
    </row>
    <row r="49" spans="1:12" ht="12">
      <c r="A49" s="19"/>
      <c r="B49" s="18" t="e">
        <f>VLOOKUP(Lestvica!B29,'Seznam ekip'!$K$6:$O$29,2,FALSE)</f>
        <v>#N/A</v>
      </c>
      <c r="C49" s="167" t="e">
        <f>VLOOKUP(Lestvica!B29,'Seznam ekip'!$K$6:$O$29,3,FALSE)</f>
        <v>#N/A</v>
      </c>
      <c r="D49" s="19" t="str">
        <f>IF(C$2=1,H14,IF(C$2=2,I14,IF(C$2=3,J14,IF(C$2=4,K14,IF(C$2=5,L14,"napaka")))))</f>
        <v>napaka</v>
      </c>
      <c r="E49" s="19"/>
      <c r="F49" s="19"/>
      <c r="G49" s="19"/>
      <c r="H49" s="19"/>
      <c r="I49" s="19"/>
      <c r="J49" s="19"/>
      <c r="K49" s="19"/>
      <c r="L49" s="19"/>
    </row>
    <row r="50" spans="1:12" ht="12">
      <c r="A50" s="19"/>
      <c r="B50" s="18" t="e">
        <f>VLOOKUP(Lestvica!B29,'Seznam ekip'!$K$6:$O$29,4,FALSE)</f>
        <v>#N/A</v>
      </c>
      <c r="C50" s="167" t="e">
        <f>VLOOKUP(Lestvica!B29,'Seznam ekip'!$K$6:$O$29,5,FALSE)</f>
        <v>#N/A</v>
      </c>
      <c r="D50" s="19" t="str">
        <f>IF(C$2=1,H14,IF(C$2=2,I14,IF(C$2=3,J14,IF(C$2=4,K14,IF(C$2=5,L14,"napaka")))))</f>
        <v>napaka</v>
      </c>
      <c r="E50" s="19"/>
      <c r="F50" s="19"/>
      <c r="G50" s="19"/>
      <c r="H50" s="19"/>
      <c r="I50" s="19"/>
      <c r="J50" s="19"/>
      <c r="K50" s="19"/>
      <c r="L50" s="19"/>
    </row>
    <row r="51" spans="1:12" ht="12">
      <c r="A51" s="19"/>
      <c r="B51" s="18" t="str">
        <f>VLOOKUP(Lestvica!B30,'Seznam ekip'!$K$6:$O$29,2,FALSE)</f>
        <v>Julija Četina </v>
      </c>
      <c r="C51" s="167">
        <f>VLOOKUP(Lestvica!B30,'Seznam ekip'!$K$6:$O$29,3,FALSE)</f>
        <v>0</v>
      </c>
      <c r="D51" s="19" t="str">
        <f>IF(C$2=1,H14,IF(C$2=2,I14,IF(C$2=3,J14,IF(C$2=4,K14,IF(C$2=5,L14,"napaka")))))</f>
        <v>napaka</v>
      </c>
      <c r="E51" s="19"/>
      <c r="F51" s="19"/>
      <c r="G51" s="19"/>
      <c r="H51" s="19"/>
      <c r="I51" s="19"/>
      <c r="J51" s="19"/>
      <c r="K51" s="19"/>
      <c r="L51" s="19"/>
    </row>
    <row r="52" spans="1:12" ht="12">
      <c r="A52" s="19"/>
      <c r="B52" s="18" t="str">
        <f>VLOOKUP(Lestvica!B30,'Seznam ekip'!$K$6:$O$29,4,FALSE)</f>
        <v>Iza Koren </v>
      </c>
      <c r="C52" s="167">
        <f>VLOOKUP(Lestvica!B30,'Seznam ekip'!$K$6:$O$29,5,FALSE)</f>
        <v>0</v>
      </c>
      <c r="D52" s="19" t="str">
        <f>IF(C$2=1,H14,IF(C$2=2,I14,IF(C$2=3,J14,IF(C$2=4,K14,IF(C$2=5,L14,"napaka")))))</f>
        <v>napaka</v>
      </c>
      <c r="E52" s="19"/>
      <c r="F52" s="19"/>
      <c r="G52" s="19"/>
      <c r="H52" s="19"/>
      <c r="I52" s="19"/>
      <c r="J52" s="19"/>
      <c r="K52" s="19"/>
      <c r="L52" s="1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clicdesign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Hurni</dc:creator>
  <cp:keywords/>
  <dc:description/>
  <cp:lastModifiedBy>Obrstar David</cp:lastModifiedBy>
  <cp:lastPrinted>2013-07-05T08:27:49Z</cp:lastPrinted>
  <dcterms:created xsi:type="dcterms:W3CDTF">2005-06-20T09:21:32Z</dcterms:created>
  <dcterms:modified xsi:type="dcterms:W3CDTF">2023-07-01T15:12:40Z</dcterms:modified>
  <cp:category/>
  <cp:version/>
  <cp:contentType/>
  <cp:contentStatus/>
</cp:coreProperties>
</file>